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xmlns:mc="http://schemas.openxmlformats.org/markup-compatibility/2006">
    <mc:Choice Requires="x15">
      <x15ac:absPath xmlns:x15ac="http://schemas.microsoft.com/office/spreadsheetml/2010/11/ac" url="E:\xampp\htdocs\hb\_hermann-baum.de strato\excel\WorldCup\download\predictions\"/>
    </mc:Choice>
  </mc:AlternateContent>
  <xr:revisionPtr revIDLastSave="0" documentId="13_ncr:1_{E6DC271E-8DCA-4017-A825-424AA557E4D8}" xr6:coauthVersionLast="36" xr6:coauthVersionMax="47" xr10:uidLastSave="{00000000-0000-0000-0000-000000000000}"/>
  <bookViews>
    <workbookView xWindow="-120" yWindow="-120" windowWidth="29040" windowHeight="15750" tabRatio="637" xr2:uid="{00000000-000D-0000-FFFF-FFFF00000000}"/>
  </bookViews>
  <sheets>
    <sheet name="World Cup" sheetId="33" r:id="rId1"/>
    <sheet name="Tagesplan" sheetId="48" r:id="rId2"/>
    <sheet name="FairPlay" sheetId="3" r:id="rId3"/>
    <sheet name="Sprache" sheetId="18" r:id="rId4"/>
    <sheet name="Zeitzone" sheetId="19" r:id="rId5"/>
    <sheet name="Groups" sheetId="26" state="hidden" r:id="rId6"/>
    <sheet name="Matches" sheetId="22" state="hidden" r:id="rId7"/>
    <sheet name="AssignThird" sheetId="44" state="hidden" r:id="rId8"/>
    <sheet name="ThirdPlaced" sheetId="45" state="hidden" r:id="rId9"/>
    <sheet name="Distinctness" sheetId="16" state="hidden" r:id="rId10"/>
    <sheet name="CalcA" sheetId="61" state="hidden" r:id="rId11"/>
    <sheet name="CalcB" sheetId="62" state="hidden" r:id="rId12"/>
    <sheet name="CalcC" sheetId="63" state="hidden" r:id="rId13"/>
    <sheet name="CalcD" sheetId="70" state="hidden" r:id="rId14"/>
    <sheet name="CalcE" sheetId="72" state="hidden" r:id="rId15"/>
    <sheet name="CalcF" sheetId="71" state="hidden" r:id="rId16"/>
    <sheet name="CalcG" sheetId="64" state="hidden" r:id="rId17"/>
    <sheet name="CalcH" sheetId="65" state="hidden" r:id="rId18"/>
    <sheet name="CalcI" sheetId="69" state="hidden" r:id="rId19"/>
    <sheet name="CalcJ" sheetId="66" state="hidden" r:id="rId20"/>
    <sheet name="CalcK" sheetId="68" state="hidden" r:id="rId21"/>
    <sheet name="CalcL" sheetId="67" state="hidden" r:id="rId22"/>
  </sheets>
  <definedNames>
    <definedName name="_xlnm.Print_Area" localSheetId="7">AssignThird!$C$2:$K$502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0" i="48" l="1"/>
  <c r="H30" i="48"/>
  <c r="G30" i="48"/>
  <c r="E30" i="48"/>
  <c r="D30" i="48"/>
  <c r="C30" i="48"/>
  <c r="B30" i="48"/>
  <c r="B40" i="48"/>
  <c r="C40" i="48"/>
  <c r="D40" i="48"/>
  <c r="E40" i="48"/>
  <c r="G40" i="48"/>
  <c r="H40" i="48"/>
  <c r="I40" i="48"/>
  <c r="B41" i="48"/>
  <c r="C41" i="48"/>
  <c r="D41" i="48"/>
  <c r="E41" i="48"/>
  <c r="G41" i="48"/>
  <c r="H41" i="48"/>
  <c r="I41" i="48"/>
  <c r="B45" i="48"/>
  <c r="C45" i="48"/>
  <c r="D45" i="48"/>
  <c r="E45" i="48"/>
  <c r="G45" i="48"/>
  <c r="H45" i="48"/>
  <c r="I45" i="48"/>
  <c r="B46" i="48"/>
  <c r="C46" i="48"/>
  <c r="D46" i="48"/>
  <c r="E46" i="48"/>
  <c r="G46" i="48"/>
  <c r="H46" i="48"/>
  <c r="I46" i="48"/>
  <c r="B50" i="48"/>
  <c r="C50" i="48"/>
  <c r="D50" i="48"/>
  <c r="E50" i="48"/>
  <c r="G50" i="48"/>
  <c r="H50" i="48"/>
  <c r="I50" i="48"/>
  <c r="B51" i="48"/>
  <c r="C51" i="48"/>
  <c r="D51" i="48"/>
  <c r="E51" i="48"/>
  <c r="G51" i="48"/>
  <c r="H51" i="48"/>
  <c r="I51" i="48"/>
  <c r="B55" i="48"/>
  <c r="C55" i="48"/>
  <c r="D55" i="48"/>
  <c r="E55" i="48"/>
  <c r="G55" i="48"/>
  <c r="H55" i="48"/>
  <c r="I55" i="48"/>
  <c r="B56" i="48"/>
  <c r="C56" i="48"/>
  <c r="D56" i="48"/>
  <c r="E56" i="48"/>
  <c r="G56" i="48"/>
  <c r="H56" i="48"/>
  <c r="I56" i="48"/>
  <c r="B60" i="48"/>
  <c r="C60" i="48"/>
  <c r="D60" i="48"/>
  <c r="E60" i="48"/>
  <c r="G60" i="48"/>
  <c r="H60" i="48"/>
  <c r="I60" i="48"/>
  <c r="B61" i="48"/>
  <c r="C61" i="48"/>
  <c r="D61" i="48"/>
  <c r="E61" i="48"/>
  <c r="G61" i="48"/>
  <c r="H61" i="48"/>
  <c r="I61" i="48"/>
  <c r="B86" i="48"/>
  <c r="C86" i="48"/>
  <c r="D86" i="48"/>
  <c r="E86" i="48"/>
  <c r="G86" i="48"/>
  <c r="H86" i="48"/>
  <c r="I86" i="48"/>
  <c r="B87" i="48"/>
  <c r="C87" i="48"/>
  <c r="D87" i="48"/>
  <c r="E87" i="48"/>
  <c r="G87" i="48"/>
  <c r="H87" i="48"/>
  <c r="I87" i="48"/>
  <c r="I23" i="48"/>
  <c r="H23" i="48"/>
  <c r="G23" i="48"/>
  <c r="E23" i="48"/>
  <c r="D23" i="48"/>
  <c r="C23" i="48"/>
  <c r="B23" i="48"/>
  <c r="I10" i="48"/>
  <c r="H10" i="48"/>
  <c r="G10" i="48"/>
  <c r="E10" i="48"/>
  <c r="D10" i="48"/>
  <c r="C10" i="48"/>
  <c r="B10" i="48"/>
  <c r="F113" i="22" l="1"/>
  <c r="F111" i="22"/>
  <c r="F109" i="22"/>
  <c r="F108" i="22"/>
  <c r="F106" i="22"/>
  <c r="F105" i="22"/>
  <c r="F104" i="22"/>
  <c r="F103" i="22"/>
  <c r="F101" i="22"/>
  <c r="F100" i="22"/>
  <c r="F99" i="22"/>
  <c r="F98" i="22"/>
  <c r="F97" i="22"/>
  <c r="F96" i="22"/>
  <c r="F95" i="22"/>
  <c r="F94" i="22"/>
  <c r="F92" i="22"/>
  <c r="F91" i="22"/>
  <c r="F90" i="22"/>
  <c r="F89" i="22"/>
  <c r="F88" i="22"/>
  <c r="F87" i="22"/>
  <c r="F86" i="22"/>
  <c r="F85" i="22"/>
  <c r="F84" i="22"/>
  <c r="F83" i="22"/>
  <c r="F82" i="22"/>
  <c r="F81" i="22"/>
  <c r="F80" i="22"/>
  <c r="F79" i="22"/>
  <c r="F78" i="22"/>
  <c r="F77" i="22"/>
  <c r="F75" i="22"/>
  <c r="F74" i="22"/>
  <c r="F73" i="22"/>
  <c r="F72" i="22"/>
  <c r="F71" i="22"/>
  <c r="F70" i="22"/>
  <c r="F69" i="22"/>
  <c r="F68" i="22"/>
  <c r="F67" i="22"/>
  <c r="F66" i="22"/>
  <c r="F65" i="22"/>
  <c r="F64" i="22"/>
  <c r="F63" i="22"/>
  <c r="F62" i="22"/>
  <c r="F61" i="22"/>
  <c r="F60" i="22"/>
  <c r="F59" i="22"/>
  <c r="F58" i="22"/>
  <c r="F57" i="22"/>
  <c r="F56" i="22"/>
  <c r="F55" i="22"/>
  <c r="F54" i="22"/>
  <c r="F53" i="22"/>
  <c r="F52" i="22"/>
  <c r="F51" i="22"/>
  <c r="F50" i="22"/>
  <c r="F49" i="22"/>
  <c r="F48" i="22"/>
  <c r="F47" i="22"/>
  <c r="F46" i="22"/>
  <c r="F45" i="22"/>
  <c r="F44" i="22"/>
  <c r="F43" i="22"/>
  <c r="F42" i="22"/>
  <c r="F41" i="22"/>
  <c r="F40" i="22"/>
  <c r="F39" i="22"/>
  <c r="F38" i="22"/>
  <c r="F37" i="22"/>
  <c r="F36" i="22"/>
  <c r="F35" i="22"/>
  <c r="F34" i="22"/>
  <c r="F33" i="22"/>
  <c r="F32" i="22"/>
  <c r="F31" i="22"/>
  <c r="F30" i="22"/>
  <c r="F29" i="22"/>
  <c r="F28" i="22"/>
  <c r="F27" i="22"/>
  <c r="F26" i="22"/>
  <c r="F25" i="22"/>
  <c r="F24" i="22"/>
  <c r="F23" i="22"/>
  <c r="F22" i="22"/>
  <c r="F21" i="22"/>
  <c r="F20" i="22"/>
  <c r="F19" i="22"/>
  <c r="F18" i="22"/>
  <c r="F17" i="22"/>
  <c r="F16" i="22"/>
  <c r="F15" i="22"/>
  <c r="F14" i="22"/>
  <c r="F13" i="22"/>
  <c r="F12" i="22"/>
  <c r="F11" i="22"/>
  <c r="F10" i="22"/>
  <c r="F9" i="22"/>
  <c r="F8" i="22"/>
  <c r="F7" i="22"/>
  <c r="F6" i="22"/>
  <c r="F5" i="22"/>
  <c r="F4" i="22"/>
  <c r="E16" i="19"/>
  <c r="E17" i="19"/>
  <c r="E18" i="19"/>
  <c r="E19" i="19"/>
  <c r="E20" i="19"/>
  <c r="E21" i="19"/>
  <c r="E22" i="19"/>
  <c r="E23" i="19"/>
  <c r="E24" i="19"/>
  <c r="E25" i="19"/>
  <c r="E26" i="19"/>
  <c r="E27" i="19"/>
  <c r="E28" i="19"/>
  <c r="E29" i="19"/>
  <c r="E30" i="19"/>
  <c r="E31" i="19"/>
  <c r="E32" i="19"/>
  <c r="E33" i="19"/>
  <c r="E34" i="19"/>
  <c r="E35" i="19"/>
  <c r="E36" i="19"/>
  <c r="E37" i="19"/>
  <c r="E38" i="19"/>
  <c r="E39" i="19"/>
  <c r="E40" i="19"/>
  <c r="C3" i="18" l="1"/>
  <c r="E28" i="18" s="1"/>
  <c r="D54" i="26" s="1"/>
  <c r="I23" i="22" s="1"/>
  <c r="AC18" i="33" s="1"/>
  <c r="P23" i="66" s="1"/>
  <c r="C4" i="18"/>
  <c r="C5" i="18"/>
  <c r="C6" i="18"/>
  <c r="C7" i="18"/>
  <c r="AU5" i="67" a="1"/>
  <c r="AV5" i="67" a="1"/>
  <c r="AU5" i="68" a="1"/>
  <c r="AV5" i="68" a="1"/>
  <c r="AU5" i="66" a="1"/>
  <c r="AV5" i="66" a="1"/>
  <c r="AU5" i="69" a="1"/>
  <c r="AV5" i="69" a="1"/>
  <c r="AU5" i="65" a="1"/>
  <c r="AV5" i="65" a="1"/>
  <c r="AU5" i="64" a="1"/>
  <c r="AV5" i="64" a="1"/>
  <c r="AU5" i="71" a="1"/>
  <c r="AV5" i="71" a="1"/>
  <c r="AU5" i="72" a="1"/>
  <c r="AV5" i="72" a="1"/>
  <c r="AU5" i="63" a="1"/>
  <c r="AV5" i="63" a="1"/>
  <c r="AU5" i="62" a="1"/>
  <c r="AV5" i="62" a="1"/>
  <c r="AU5" i="61" a="1"/>
  <c r="AV5" i="61" a="1"/>
  <c r="AV5" i="70" a="1"/>
  <c r="AU5" i="70" a="1"/>
  <c r="C8" i="18"/>
  <c r="E8" i="18"/>
  <c r="D62" i="26" s="1"/>
  <c r="D5" i="67" s="1"/>
  <c r="E10" i="18"/>
  <c r="D57" i="26" s="1"/>
  <c r="E40" i="18"/>
  <c r="E48" i="18"/>
  <c r="E72" i="18"/>
  <c r="E81" i="18"/>
  <c r="R25" i="68"/>
  <c r="S25" i="68"/>
  <c r="R22" i="68"/>
  <c r="S22" i="68"/>
  <c r="R23" i="68"/>
  <c r="R24" i="68"/>
  <c r="R26" i="68"/>
  <c r="R27" i="68"/>
  <c r="S23" i="68"/>
  <c r="S24" i="68"/>
  <c r="S26" i="68"/>
  <c r="S27" i="68"/>
  <c r="R25" i="66"/>
  <c r="S25" i="66"/>
  <c r="R22" i="66"/>
  <c r="S22" i="66"/>
  <c r="R23" i="66"/>
  <c r="R24" i="66"/>
  <c r="R26" i="66"/>
  <c r="R27" i="66"/>
  <c r="S23" i="66"/>
  <c r="S24" i="66"/>
  <c r="S26" i="66"/>
  <c r="S27" i="66"/>
  <c r="R25" i="69"/>
  <c r="S25" i="69"/>
  <c r="R22" i="69"/>
  <c r="S22" i="69"/>
  <c r="R23" i="69"/>
  <c r="R24" i="69"/>
  <c r="R26" i="69"/>
  <c r="R27" i="69"/>
  <c r="S23" i="69"/>
  <c r="S24" i="69"/>
  <c r="S26" i="69"/>
  <c r="S27" i="69"/>
  <c r="R25" i="65"/>
  <c r="S25" i="65"/>
  <c r="R22" i="65"/>
  <c r="S22" i="65"/>
  <c r="R23" i="65"/>
  <c r="R24" i="65"/>
  <c r="R26" i="65"/>
  <c r="R27" i="65"/>
  <c r="S23" i="65"/>
  <c r="S24" i="65"/>
  <c r="S26" i="65"/>
  <c r="S27" i="65"/>
  <c r="R25" i="64"/>
  <c r="S25" i="64"/>
  <c r="R22" i="64"/>
  <c r="S22" i="64"/>
  <c r="R23" i="64"/>
  <c r="R24" i="64"/>
  <c r="R26" i="64"/>
  <c r="R27" i="64"/>
  <c r="S23" i="64"/>
  <c r="S24" i="64"/>
  <c r="S26" i="64"/>
  <c r="S27" i="64"/>
  <c r="R25" i="71"/>
  <c r="S25" i="71"/>
  <c r="R22" i="71"/>
  <c r="S22" i="71"/>
  <c r="R23" i="71"/>
  <c r="R24" i="71"/>
  <c r="R26" i="71"/>
  <c r="R27" i="71"/>
  <c r="S23" i="71"/>
  <c r="S24" i="71"/>
  <c r="S26" i="71"/>
  <c r="S27" i="71"/>
  <c r="R25" i="72"/>
  <c r="S25" i="72"/>
  <c r="R22" i="72"/>
  <c r="S22" i="72"/>
  <c r="R23" i="72"/>
  <c r="R24" i="72"/>
  <c r="R26" i="72"/>
  <c r="R27" i="72"/>
  <c r="S23" i="72"/>
  <c r="S24" i="72"/>
  <c r="S26" i="72"/>
  <c r="S27" i="72"/>
  <c r="R25" i="70"/>
  <c r="S25" i="70"/>
  <c r="R22" i="70"/>
  <c r="S22" i="70"/>
  <c r="R23" i="70"/>
  <c r="R24" i="70"/>
  <c r="R26" i="70"/>
  <c r="R27" i="70"/>
  <c r="S23" i="70"/>
  <c r="S24" i="70"/>
  <c r="S26" i="70"/>
  <c r="S27" i="70"/>
  <c r="R25" i="63"/>
  <c r="S25" i="63"/>
  <c r="R22" i="63"/>
  <c r="S22" i="63"/>
  <c r="R23" i="63"/>
  <c r="R24" i="63"/>
  <c r="R26" i="63"/>
  <c r="R27" i="63"/>
  <c r="S23" i="63"/>
  <c r="S24" i="63"/>
  <c r="S26" i="63"/>
  <c r="S27" i="63"/>
  <c r="R25" i="62"/>
  <c r="S25" i="62"/>
  <c r="R22" i="62"/>
  <c r="S22" i="62"/>
  <c r="R23" i="62"/>
  <c r="R24" i="62"/>
  <c r="R26" i="62"/>
  <c r="R27" i="62"/>
  <c r="S23" i="62"/>
  <c r="S24" i="62"/>
  <c r="S26" i="62"/>
  <c r="S27" i="62"/>
  <c r="E199" i="18"/>
  <c r="E200" i="18"/>
  <c r="E123" i="18"/>
  <c r="E133" i="18"/>
  <c r="E132" i="18"/>
  <c r="E131" i="18"/>
  <c r="E139" i="18"/>
  <c r="E138" i="18"/>
  <c r="E137" i="18"/>
  <c r="E140" i="18"/>
  <c r="E122" i="18"/>
  <c r="E174" i="18"/>
  <c r="C11" i="3" s="1"/>
  <c r="E130" i="18"/>
  <c r="I17" i="3"/>
  <c r="S27" i="61"/>
  <c r="R27" i="61"/>
  <c r="S26" i="61"/>
  <c r="R26" i="61"/>
  <c r="S25" i="61"/>
  <c r="R25" i="61"/>
  <c r="S24" i="61"/>
  <c r="R24" i="61"/>
  <c r="S23" i="61"/>
  <c r="R23" i="61"/>
  <c r="S22" i="61"/>
  <c r="R22" i="61"/>
  <c r="M69" i="22"/>
  <c r="D91" i="22"/>
  <c r="D89" i="22"/>
  <c r="D86" i="22"/>
  <c r="D85" i="22"/>
  <c r="D84" i="22"/>
  <c r="D83" i="22"/>
  <c r="D81" i="22"/>
  <c r="D78" i="22"/>
  <c r="H96" i="48"/>
  <c r="O5" i="19"/>
  <c r="O6" i="19"/>
  <c r="O7" i="19"/>
  <c r="O8" i="19"/>
  <c r="O9" i="19"/>
  <c r="O10" i="19"/>
  <c r="O11" i="19"/>
  <c r="O12" i="19"/>
  <c r="O13" i="19"/>
  <c r="O14" i="19"/>
  <c r="O15" i="19"/>
  <c r="O16" i="19"/>
  <c r="O17" i="19"/>
  <c r="B121" i="48" s="1"/>
  <c r="O18" i="19"/>
  <c r="O19" i="19"/>
  <c r="O4" i="19"/>
  <c r="H146" i="48"/>
  <c r="G146" i="48"/>
  <c r="H143" i="48"/>
  <c r="G143" i="48"/>
  <c r="H140" i="48"/>
  <c r="G140" i="48"/>
  <c r="H138" i="48"/>
  <c r="G138" i="48"/>
  <c r="H135" i="48"/>
  <c r="G135" i="48"/>
  <c r="H134" i="48"/>
  <c r="G134" i="48"/>
  <c r="H132" i="48"/>
  <c r="G132" i="48"/>
  <c r="H130" i="48"/>
  <c r="G130" i="48"/>
  <c r="H127" i="48"/>
  <c r="G127" i="48"/>
  <c r="H126" i="48"/>
  <c r="G126" i="48"/>
  <c r="H124" i="48"/>
  <c r="G124" i="48"/>
  <c r="H123" i="48"/>
  <c r="G123" i="48"/>
  <c r="H121" i="48"/>
  <c r="G121" i="48"/>
  <c r="H120" i="48"/>
  <c r="G120" i="48"/>
  <c r="H118" i="48"/>
  <c r="G118" i="48"/>
  <c r="H117" i="48"/>
  <c r="G117" i="48"/>
  <c r="H114" i="48"/>
  <c r="G114" i="48"/>
  <c r="H113" i="48"/>
  <c r="G113" i="48"/>
  <c r="H112" i="48"/>
  <c r="G112" i="48"/>
  <c r="H110" i="48"/>
  <c r="G110" i="48"/>
  <c r="H109" i="48"/>
  <c r="G109" i="48"/>
  <c r="H108" i="48"/>
  <c r="G108" i="48"/>
  <c r="H106" i="48"/>
  <c r="G106" i="48"/>
  <c r="H105" i="48"/>
  <c r="G105" i="48"/>
  <c r="H104" i="48"/>
  <c r="G104" i="48"/>
  <c r="H102" i="48"/>
  <c r="G102" i="48"/>
  <c r="H101" i="48"/>
  <c r="G101" i="48"/>
  <c r="H100" i="48"/>
  <c r="G100" i="48"/>
  <c r="H98" i="48"/>
  <c r="G98" i="48"/>
  <c r="H97" i="48"/>
  <c r="G97" i="48"/>
  <c r="G96" i="48"/>
  <c r="H94" i="48"/>
  <c r="G94" i="48"/>
  <c r="H91" i="48"/>
  <c r="G91" i="48"/>
  <c r="H90" i="48"/>
  <c r="G90" i="48"/>
  <c r="H89" i="48"/>
  <c r="G89" i="48"/>
  <c r="H88" i="48"/>
  <c r="G88" i="48"/>
  <c r="H84" i="48"/>
  <c r="G84" i="48"/>
  <c r="H83" i="48"/>
  <c r="G83" i="48"/>
  <c r="H82" i="48"/>
  <c r="G82" i="48"/>
  <c r="H81" i="48"/>
  <c r="G81" i="48"/>
  <c r="H80" i="48"/>
  <c r="G80" i="48"/>
  <c r="H79" i="48"/>
  <c r="G79" i="48"/>
  <c r="H77" i="48"/>
  <c r="G77" i="48"/>
  <c r="H76" i="48"/>
  <c r="G76" i="48"/>
  <c r="H75" i="48"/>
  <c r="G75" i="48"/>
  <c r="H74" i="48"/>
  <c r="G74" i="48"/>
  <c r="H73" i="48"/>
  <c r="G73" i="48"/>
  <c r="H72" i="48"/>
  <c r="G72" i="48"/>
  <c r="H70" i="48"/>
  <c r="G70" i="48"/>
  <c r="H69" i="48"/>
  <c r="G69" i="48"/>
  <c r="H68" i="48"/>
  <c r="G68" i="48"/>
  <c r="H67" i="48"/>
  <c r="G67" i="48"/>
  <c r="H66" i="48"/>
  <c r="G66" i="48"/>
  <c r="H65" i="48"/>
  <c r="G65" i="48"/>
  <c r="H63" i="48"/>
  <c r="G63" i="48"/>
  <c r="H62" i="48"/>
  <c r="G62" i="48"/>
  <c r="H58" i="48"/>
  <c r="G58" i="48"/>
  <c r="H57" i="48"/>
  <c r="G57" i="48"/>
  <c r="H53" i="48"/>
  <c r="G53" i="48"/>
  <c r="H52" i="48"/>
  <c r="G52" i="48"/>
  <c r="H48" i="48"/>
  <c r="G48" i="48"/>
  <c r="H47" i="48"/>
  <c r="G47" i="48"/>
  <c r="H43" i="48"/>
  <c r="G43" i="48"/>
  <c r="H42" i="48"/>
  <c r="G42" i="48"/>
  <c r="H38" i="48"/>
  <c r="G38" i="48"/>
  <c r="H37" i="48"/>
  <c r="G37" i="48"/>
  <c r="H36" i="48"/>
  <c r="G36" i="48"/>
  <c r="H35" i="48"/>
  <c r="G35" i="48"/>
  <c r="H33" i="48"/>
  <c r="G33" i="48"/>
  <c r="H32" i="48"/>
  <c r="G32" i="48"/>
  <c r="H31" i="48"/>
  <c r="G31" i="48"/>
  <c r="H28" i="48"/>
  <c r="G28" i="48"/>
  <c r="H27" i="48"/>
  <c r="G27" i="48"/>
  <c r="H26" i="48"/>
  <c r="G26" i="48"/>
  <c r="H25" i="48"/>
  <c r="G25" i="48"/>
  <c r="H22" i="48"/>
  <c r="G22" i="48"/>
  <c r="H21" i="48"/>
  <c r="G21" i="48"/>
  <c r="H20" i="48"/>
  <c r="G20" i="48"/>
  <c r="H18" i="48"/>
  <c r="G18" i="48"/>
  <c r="H17" i="48"/>
  <c r="G17" i="48"/>
  <c r="H16" i="48"/>
  <c r="G16" i="48"/>
  <c r="H15" i="48"/>
  <c r="G15" i="48"/>
  <c r="H13" i="48"/>
  <c r="G13" i="48"/>
  <c r="H12" i="48"/>
  <c r="G12" i="48"/>
  <c r="H11" i="48"/>
  <c r="G11" i="48"/>
  <c r="H8" i="48"/>
  <c r="G8" i="48"/>
  <c r="H7" i="48"/>
  <c r="G7" i="48"/>
  <c r="H5" i="48"/>
  <c r="G5" i="48"/>
  <c r="H4" i="48"/>
  <c r="G4" i="48"/>
  <c r="M108" i="22"/>
  <c r="M76" i="22"/>
  <c r="M107" i="22"/>
  <c r="M75" i="22"/>
  <c r="M106" i="22"/>
  <c r="M74" i="22"/>
  <c r="M105" i="22"/>
  <c r="M73" i="22"/>
  <c r="M104" i="22"/>
  <c r="M72" i="22"/>
  <c r="M103" i="22"/>
  <c r="M71" i="22"/>
  <c r="M102" i="22"/>
  <c r="M70" i="22"/>
  <c r="M101" i="22"/>
  <c r="AV1" i="33"/>
  <c r="AL55" i="33"/>
  <c r="AO55" i="33"/>
  <c r="AR55" i="33"/>
  <c r="AU55" i="33"/>
  <c r="AI55" i="33"/>
  <c r="AF55" i="33"/>
  <c r="AC55" i="33"/>
  <c r="Z55" i="33"/>
  <c r="W55" i="33"/>
  <c r="T55" i="33"/>
  <c r="Q55" i="33"/>
  <c r="N55" i="33"/>
  <c r="K55" i="33"/>
  <c r="H55" i="33"/>
  <c r="E55" i="33"/>
  <c r="B55" i="33"/>
  <c r="L103" i="33"/>
  <c r="N102" i="33"/>
  <c r="L102" i="33"/>
  <c r="L93" i="33"/>
  <c r="N92" i="33"/>
  <c r="L92" i="33"/>
  <c r="R85" i="33"/>
  <c r="F85" i="33"/>
  <c r="T84" i="33"/>
  <c r="T68" i="33" s="1"/>
  <c r="R84" i="33"/>
  <c r="N68" i="33" s="1"/>
  <c r="O68" i="33" s="1"/>
  <c r="H84" i="33"/>
  <c r="H68" i="33" s="1"/>
  <c r="F84" i="33"/>
  <c r="B68" i="33" s="1"/>
  <c r="U75" i="33"/>
  <c r="O75" i="33"/>
  <c r="I75" i="33"/>
  <c r="C75" i="33"/>
  <c r="W65" i="33"/>
  <c r="T65" i="33"/>
  <c r="Q65" i="33"/>
  <c r="N65" i="33"/>
  <c r="K65" i="33"/>
  <c r="H65" i="33"/>
  <c r="E65" i="33"/>
  <c r="B65" i="33"/>
  <c r="C9" i="18"/>
  <c r="E5" i="19"/>
  <c r="E6" i="19"/>
  <c r="E7" i="19"/>
  <c r="E8" i="19"/>
  <c r="E9" i="19"/>
  <c r="E10" i="19"/>
  <c r="E11" i="19"/>
  <c r="E12" i="19"/>
  <c r="E13" i="19"/>
  <c r="E14" i="19"/>
  <c r="E15" i="19"/>
  <c r="B65" i="48" s="1"/>
  <c r="E4" i="19"/>
  <c r="B75" i="48"/>
  <c r="C130" i="48"/>
  <c r="E178" i="18"/>
  <c r="J5" i="44" s="1"/>
  <c r="E233" i="18"/>
  <c r="E111" i="18"/>
  <c r="H94" i="22" s="1"/>
  <c r="I117" i="48" s="1"/>
  <c r="E263" i="18"/>
  <c r="E262" i="18"/>
  <c r="M3" i="48" s="1"/>
  <c r="E183" i="18"/>
  <c r="E149" i="18"/>
  <c r="E173" i="18"/>
  <c r="B145" i="48" s="1"/>
  <c r="E243" i="18"/>
  <c r="E219" i="18"/>
  <c r="E118" i="18"/>
  <c r="H57" i="22" s="1"/>
  <c r="E169" i="18"/>
  <c r="E207" i="18"/>
  <c r="E175" i="18"/>
  <c r="E247" i="18"/>
  <c r="E213" i="18"/>
  <c r="E160" i="18"/>
  <c r="E189" i="18"/>
  <c r="E201" i="18"/>
  <c r="E260" i="18"/>
  <c r="B3" i="48" s="1"/>
  <c r="E143" i="18"/>
  <c r="E128" i="18"/>
  <c r="C2" i="44"/>
  <c r="E124" i="18"/>
  <c r="A1" i="19" s="1"/>
  <c r="E221" i="18"/>
  <c r="E172" i="18"/>
  <c r="E215" i="18"/>
  <c r="E236" i="18"/>
  <c r="E109" i="18"/>
  <c r="E110" i="18"/>
  <c r="E222" i="18"/>
  <c r="E229" i="18"/>
  <c r="E230" i="18"/>
  <c r="E235" i="18"/>
  <c r="E204" i="18"/>
  <c r="E209" i="18"/>
  <c r="E259" i="18"/>
  <c r="B137" i="48"/>
  <c r="E177" i="18"/>
  <c r="C5" i="44" s="1"/>
  <c r="E146" i="18"/>
  <c r="E151" i="18"/>
  <c r="E193" i="18"/>
  <c r="B3" i="3" s="1"/>
  <c r="E244" i="18"/>
  <c r="E205" i="18"/>
  <c r="E113" i="18"/>
  <c r="E171" i="18"/>
  <c r="K109" i="22" s="1"/>
  <c r="R77" i="33" s="1"/>
  <c r="E231" i="18"/>
  <c r="E196" i="18"/>
  <c r="L1" i="18" s="1"/>
  <c r="E206" i="18"/>
  <c r="E234" i="18"/>
  <c r="E254" i="18"/>
  <c r="D3" i="48" s="1"/>
  <c r="E180" i="18"/>
  <c r="E156" i="18"/>
  <c r="E154" i="18"/>
  <c r="E212" i="18"/>
  <c r="E191" i="18"/>
  <c r="E245" i="18"/>
  <c r="E162" i="18"/>
  <c r="E104" i="18"/>
  <c r="H49" i="22" s="1"/>
  <c r="AI26" i="33" s="1"/>
  <c r="E227" i="18"/>
  <c r="E135" i="18"/>
  <c r="E256" i="18"/>
  <c r="B93" i="48" s="1"/>
  <c r="E150" i="18"/>
  <c r="E232" i="18"/>
  <c r="E141" i="18"/>
  <c r="R96" i="33" s="1"/>
  <c r="E211" i="18"/>
  <c r="E194" i="18"/>
  <c r="G1" i="19" s="1"/>
  <c r="E228" i="18"/>
  <c r="E163" i="18"/>
  <c r="E261" i="18"/>
  <c r="M2" i="48" s="1"/>
  <c r="E220" i="18"/>
  <c r="E241" i="18"/>
  <c r="E126" i="18"/>
  <c r="F1" i="18" s="1"/>
  <c r="E217" i="18"/>
  <c r="E125" i="18"/>
  <c r="B1" i="22"/>
  <c r="E225" i="18"/>
  <c r="E257" i="18"/>
  <c r="B116" i="48" s="1"/>
  <c r="E251" i="18"/>
  <c r="F3" i="48" s="1"/>
  <c r="E214" i="18"/>
  <c r="E161" i="18"/>
  <c r="E210" i="18"/>
  <c r="E252" i="18"/>
  <c r="G3" i="48"/>
  <c r="E181" i="18"/>
  <c r="AN31" i="33" s="1"/>
  <c r="E142" i="18"/>
  <c r="E237" i="18"/>
  <c r="E105" i="18"/>
  <c r="E195" i="18"/>
  <c r="E216" i="18"/>
  <c r="E107" i="18"/>
  <c r="H46" i="22" s="1"/>
  <c r="E167" i="18"/>
  <c r="E242" i="18"/>
  <c r="E208" i="18"/>
  <c r="E250" i="18"/>
  <c r="B1" i="48" s="1"/>
  <c r="E121" i="18"/>
  <c r="E1" i="33" s="1"/>
  <c r="E114" i="18"/>
  <c r="E218" i="18"/>
  <c r="E176" i="18"/>
  <c r="E106" i="18"/>
  <c r="H22" i="22" s="1"/>
  <c r="E155" i="18"/>
  <c r="E239" i="18"/>
  <c r="E144" i="18"/>
  <c r="B2" i="3"/>
  <c r="E246" i="18"/>
  <c r="E153" i="18"/>
  <c r="E134" i="18"/>
  <c r="F2" i="33" s="1"/>
  <c r="E226" i="18"/>
  <c r="E158" i="18"/>
  <c r="E127" i="18"/>
  <c r="E108" i="18"/>
  <c r="H26" i="22" s="1"/>
  <c r="E253" i="18"/>
  <c r="C3" i="48" s="1"/>
  <c r="E240" i="18"/>
  <c r="E190" i="18"/>
  <c r="J5" i="16" s="1"/>
  <c r="E148" i="18"/>
  <c r="E185" i="18"/>
  <c r="I3" i="48"/>
  <c r="E187" i="18"/>
  <c r="E258" i="18"/>
  <c r="B129" i="48" s="1"/>
  <c r="E184" i="18"/>
  <c r="J3" i="48" s="1"/>
  <c r="E157" i="18"/>
  <c r="E145" i="18"/>
  <c r="E116" i="18"/>
  <c r="E117" i="18"/>
  <c r="H69" i="22" s="1"/>
  <c r="E166" i="18"/>
  <c r="E159" i="18"/>
  <c r="E223" i="18"/>
  <c r="E198" i="18"/>
  <c r="G4" i="19" s="1"/>
  <c r="E164" i="18"/>
  <c r="E115" i="18"/>
  <c r="H52" i="22" s="1"/>
  <c r="H31" i="33" s="1"/>
  <c r="E238" i="18"/>
  <c r="E112" i="18"/>
  <c r="H19" i="22" s="1"/>
  <c r="T11" i="33" s="1"/>
  <c r="E170" i="18"/>
  <c r="K108" i="22" s="1"/>
  <c r="F77" i="33" s="1"/>
  <c r="E255" i="18"/>
  <c r="E3" i="48" s="1"/>
  <c r="E182" i="18"/>
  <c r="AL44" i="33" s="1"/>
  <c r="E179" i="18"/>
  <c r="E147" i="18"/>
  <c r="E152" i="18"/>
  <c r="E136" i="18"/>
  <c r="E192" i="18"/>
  <c r="E224" i="18"/>
  <c r="E168" i="18"/>
  <c r="E165" i="18"/>
  <c r="E103" i="18"/>
  <c r="H101" i="22" s="1"/>
  <c r="I127" i="48" s="1"/>
  <c r="K5" i="44"/>
  <c r="F5" i="44"/>
  <c r="K113" i="22"/>
  <c r="L95" i="33" s="1"/>
  <c r="H43" i="22"/>
  <c r="T26" i="33" s="1"/>
  <c r="H89" i="22"/>
  <c r="I110" i="48" s="1"/>
  <c r="H30" i="22"/>
  <c r="E26" i="33" s="1"/>
  <c r="H80" i="22"/>
  <c r="I98" i="48" s="1"/>
  <c r="H95" i="22"/>
  <c r="H68" i="22"/>
  <c r="H38" i="22"/>
  <c r="F5" i="3"/>
  <c r="C5" i="3"/>
  <c r="I5" i="3"/>
  <c r="C1" i="45"/>
  <c r="AL31" i="33"/>
  <c r="H85" i="22"/>
  <c r="I105" i="48" s="1"/>
  <c r="H47" i="22"/>
  <c r="H34" i="22"/>
  <c r="H23" i="22"/>
  <c r="H39" i="22"/>
  <c r="H15" i="22"/>
  <c r="H79" i="22"/>
  <c r="I97" i="48" s="1"/>
  <c r="H78" i="22"/>
  <c r="I96" i="48" s="1"/>
  <c r="H48" i="22"/>
  <c r="H8" i="22"/>
  <c r="H33" i="22"/>
  <c r="H64" i="22"/>
  <c r="H21" i="22"/>
  <c r="H103" i="22"/>
  <c r="I130" i="48" s="1"/>
  <c r="H104" i="22"/>
  <c r="I132" i="48" s="1"/>
  <c r="H77" i="22"/>
  <c r="I94" i="48" s="1"/>
  <c r="H29" i="22"/>
  <c r="E21" i="33" s="1"/>
  <c r="H18" i="22"/>
  <c r="I21" i="48" s="1"/>
  <c r="H62" i="22"/>
  <c r="H42" i="22"/>
  <c r="H88" i="22"/>
  <c r="I109" i="48" s="1"/>
  <c r="H7" i="22"/>
  <c r="H55" i="22"/>
  <c r="H66" i="22"/>
  <c r="H86" i="22"/>
  <c r="I106" i="48" s="1"/>
  <c r="H99" i="22"/>
  <c r="I124" i="48" s="1"/>
  <c r="H35" i="22"/>
  <c r="H51" i="22"/>
  <c r="H31" i="22"/>
  <c r="B26" i="33" s="1"/>
  <c r="H5" i="22"/>
  <c r="H61" i="22"/>
  <c r="I75" i="48" s="1"/>
  <c r="H91" i="22"/>
  <c r="I113" i="48" s="1"/>
  <c r="H37" i="22"/>
  <c r="H72" i="22"/>
  <c r="H65" i="22"/>
  <c r="H36" i="22"/>
  <c r="H24" i="22"/>
  <c r="I27" i="48" s="1"/>
  <c r="H6" i="22"/>
  <c r="H87" i="22"/>
  <c r="I108" i="48" s="1"/>
  <c r="H53" i="22"/>
  <c r="H41" i="22"/>
  <c r="H84" i="22"/>
  <c r="I104" i="48" s="1"/>
  <c r="H28" i="22"/>
  <c r="H100" i="22"/>
  <c r="I126" i="48" s="1"/>
  <c r="H109" i="22"/>
  <c r="R78" i="33" s="1"/>
  <c r="H83" i="22"/>
  <c r="I102" i="48" s="1"/>
  <c r="H56" i="22"/>
  <c r="H97" i="22"/>
  <c r="I121" i="48" s="1"/>
  <c r="H27" i="22"/>
  <c r="H4" i="22"/>
  <c r="B11" i="33" s="1"/>
  <c r="H73" i="22"/>
  <c r="H92" i="22"/>
  <c r="I114" i="48" s="1"/>
  <c r="H108" i="22"/>
  <c r="H98" i="22"/>
  <c r="I123" i="48" s="1"/>
  <c r="K9" i="33"/>
  <c r="K41" i="33" s="1"/>
  <c r="B9" i="33"/>
  <c r="B41" i="33" s="1"/>
  <c r="H9" i="33"/>
  <c r="H41" i="33" s="1"/>
  <c r="N9" i="33"/>
  <c r="N41" i="33" s="1"/>
  <c r="AF9" i="33"/>
  <c r="AF41" i="33" s="1"/>
  <c r="E9" i="33"/>
  <c r="E41" i="33"/>
  <c r="T9" i="33"/>
  <c r="T41" i="33" s="1"/>
  <c r="AI9" i="33"/>
  <c r="AI41" i="33" s="1"/>
  <c r="Z9" i="33"/>
  <c r="Z41" i="33" s="1"/>
  <c r="Q9" i="33"/>
  <c r="Q41" i="33" s="1"/>
  <c r="E5" i="3"/>
  <c r="H5" i="3"/>
  <c r="B5" i="3"/>
  <c r="AC9" i="33"/>
  <c r="AC41" i="33" s="1"/>
  <c r="W9" i="33"/>
  <c r="W41" i="33" s="1"/>
  <c r="AC52" i="33"/>
  <c r="N52" i="33"/>
  <c r="Q62" i="33"/>
  <c r="H62" i="33"/>
  <c r="AL52" i="33"/>
  <c r="W52" i="33"/>
  <c r="I72" i="33"/>
  <c r="K62" i="33"/>
  <c r="Z52" i="33"/>
  <c r="B62" i="33"/>
  <c r="F82" i="33"/>
  <c r="AO52" i="33"/>
  <c r="K52" i="33"/>
  <c r="N62" i="33"/>
  <c r="AR52" i="33"/>
  <c r="AI52" i="33"/>
  <c r="L90" i="33"/>
  <c r="AF52" i="33"/>
  <c r="T62" i="33"/>
  <c r="H52" i="33"/>
  <c r="W62" i="33"/>
  <c r="E52" i="33"/>
  <c r="O72" i="33"/>
  <c r="T52" i="33"/>
  <c r="R82" i="33"/>
  <c r="Q52" i="33"/>
  <c r="L100" i="33"/>
  <c r="AU52" i="33"/>
  <c r="U72" i="33"/>
  <c r="B52" i="33"/>
  <c r="E62" i="33"/>
  <c r="C72" i="33"/>
  <c r="H7" i="44"/>
  <c r="E7" i="44"/>
  <c r="I7" i="44"/>
  <c r="J7" i="44"/>
  <c r="K7" i="44"/>
  <c r="F7" i="44"/>
  <c r="D7" i="44"/>
  <c r="G7" i="44"/>
  <c r="AD2" i="33"/>
  <c r="AG2" i="33"/>
  <c r="L2" i="33"/>
  <c r="O2" i="33"/>
  <c r="I2" i="33"/>
  <c r="AJ2" i="33"/>
  <c r="AA2" i="33"/>
  <c r="H40" i="22"/>
  <c r="H105" i="22"/>
  <c r="H74" i="22"/>
  <c r="AF31" i="33" s="1"/>
  <c r="H16" i="22"/>
  <c r="H111" i="22"/>
  <c r="L86" i="33" s="1"/>
  <c r="H70" i="22"/>
  <c r="H59" i="22"/>
  <c r="N36" i="33" s="1"/>
  <c r="H81" i="22"/>
  <c r="I100" i="48" s="1"/>
  <c r="H10" i="22"/>
  <c r="H11" i="33" s="1"/>
  <c r="H113" i="22"/>
  <c r="H96" i="22"/>
  <c r="I120" i="48" s="1"/>
  <c r="H20" i="22"/>
  <c r="I25" i="48" s="1"/>
  <c r="H44" i="22"/>
  <c r="W16" i="33"/>
  <c r="N26" i="33"/>
  <c r="K26" i="33"/>
  <c r="I42" i="48"/>
  <c r="T21" i="33"/>
  <c r="Q26" i="33"/>
  <c r="I138" i="48"/>
  <c r="F78" i="33"/>
  <c r="I66" i="48"/>
  <c r="H36" i="33"/>
  <c r="E11" i="33"/>
  <c r="I8" i="48"/>
  <c r="I76" i="48"/>
  <c r="K31" i="33"/>
  <c r="Z16" i="33"/>
  <c r="I26" i="48"/>
  <c r="I28" i="48"/>
  <c r="AC16" i="33"/>
  <c r="Q21" i="33"/>
  <c r="L96" i="33"/>
  <c r="I146" i="48"/>
  <c r="H21" i="33"/>
  <c r="I4" i="48"/>
  <c r="I58" i="48"/>
  <c r="T16" i="33"/>
  <c r="I79" i="48"/>
  <c r="Z31" i="33"/>
  <c r="I13" i="48"/>
  <c r="H16" i="33"/>
  <c r="I143" i="48"/>
  <c r="I32" i="48"/>
  <c r="AF16" i="33"/>
  <c r="Q36" i="33"/>
  <c r="I37" i="48"/>
  <c r="I38" i="48"/>
  <c r="K21" i="33"/>
  <c r="I22" i="48"/>
  <c r="Z26" i="33"/>
  <c r="N21" i="33"/>
  <c r="I43" i="48"/>
  <c r="B16" i="33"/>
  <c r="I5" i="48"/>
  <c r="I81" i="48"/>
  <c r="T31" i="33"/>
  <c r="AC26" i="33"/>
  <c r="I83" i="48"/>
  <c r="W31" i="33"/>
  <c r="I72" i="48"/>
  <c r="I70" i="48"/>
  <c r="B31" i="33"/>
  <c r="B21" i="33"/>
  <c r="I36" i="48"/>
  <c r="I80" i="48"/>
  <c r="Z36" i="33"/>
  <c r="I68" i="48"/>
  <c r="E36" i="33"/>
  <c r="I57" i="48"/>
  <c r="AI21" i="33"/>
  <c r="I118" i="48"/>
  <c r="I35" i="48"/>
  <c r="I134" i="48"/>
  <c r="I89" i="48"/>
  <c r="AC36" i="33"/>
  <c r="I84" i="48"/>
  <c r="W36" i="33"/>
  <c r="I7" i="48"/>
  <c r="K11" i="33"/>
  <c r="I69" i="48"/>
  <c r="B36" i="33"/>
  <c r="I52" i="48"/>
  <c r="W21" i="33"/>
  <c r="I47" i="48"/>
  <c r="I48" i="48"/>
  <c r="W26" i="33"/>
  <c r="I88" i="48"/>
  <c r="AC31" i="33"/>
  <c r="I63" i="48"/>
  <c r="AF26" i="33"/>
  <c r="Q16" i="33"/>
  <c r="I16" i="48"/>
  <c r="I60" i="33"/>
  <c r="F60" i="33"/>
  <c r="E117" i="48" s="1"/>
  <c r="B60" i="33"/>
  <c r="U60" i="33"/>
  <c r="L60" i="33"/>
  <c r="E124" i="48" s="1"/>
  <c r="T60" i="33"/>
  <c r="D126" i="48" s="1"/>
  <c r="C60" i="33"/>
  <c r="E118" i="48" s="1"/>
  <c r="N60" i="33"/>
  <c r="O60" i="33"/>
  <c r="E120" i="48" s="1"/>
  <c r="H60" i="33"/>
  <c r="K60" i="33"/>
  <c r="K70" i="33"/>
  <c r="I70" i="33"/>
  <c r="O70" i="33"/>
  <c r="C70" i="33"/>
  <c r="U70" i="33"/>
  <c r="D135" i="48" s="1"/>
  <c r="Q60" i="33"/>
  <c r="E60" i="33"/>
  <c r="D117" i="48" s="1"/>
  <c r="H80" i="33"/>
  <c r="E138" i="48" s="1"/>
  <c r="F80" i="33"/>
  <c r="E70" i="33"/>
  <c r="Q70" i="33"/>
  <c r="E134" i="48" s="1"/>
  <c r="L98" i="33"/>
  <c r="R80" i="33"/>
  <c r="D140" i="48" s="1"/>
  <c r="L88" i="33"/>
  <c r="N98" i="33"/>
  <c r="R98" i="33"/>
  <c r="W60" i="33"/>
  <c r="R60" i="33"/>
  <c r="E121" i="48" s="1"/>
  <c r="W70" i="33"/>
  <c r="X60" i="33"/>
  <c r="T80" i="33"/>
  <c r="N88" i="33"/>
  <c r="R22" i="67"/>
  <c r="R23" i="67"/>
  <c r="R24" i="67"/>
  <c r="R25" i="67"/>
  <c r="R26" i="67"/>
  <c r="R27" i="67"/>
  <c r="S22" i="67"/>
  <c r="S23" i="67"/>
  <c r="S24" i="67"/>
  <c r="S25" i="67"/>
  <c r="S26" i="67"/>
  <c r="S27" i="67"/>
  <c r="D118" i="48" l="1"/>
  <c r="B84" i="48"/>
  <c r="C84" i="48"/>
  <c r="W37" i="33"/>
  <c r="C112" i="48"/>
  <c r="B112" i="48"/>
  <c r="C104" i="48"/>
  <c r="C7" i="48"/>
  <c r="C96" i="48"/>
  <c r="C79" i="48"/>
  <c r="E27" i="33"/>
  <c r="C100" i="48"/>
  <c r="C124" i="48"/>
  <c r="W17" i="33"/>
  <c r="B68" i="48"/>
  <c r="C94" i="48"/>
  <c r="C72" i="48"/>
  <c r="AF12" i="33"/>
  <c r="W22" i="33"/>
  <c r="C47" i="48"/>
  <c r="H17" i="33"/>
  <c r="B81" i="48"/>
  <c r="C38" i="48"/>
  <c r="W32" i="33"/>
  <c r="B126" i="48"/>
  <c r="C32" i="48"/>
  <c r="Z17" i="33"/>
  <c r="C135" i="48"/>
  <c r="B132" i="48"/>
  <c r="B37" i="48"/>
  <c r="B28" i="48"/>
  <c r="C5" i="48"/>
  <c r="N27" i="33"/>
  <c r="B108" i="48"/>
  <c r="C4" i="48"/>
  <c r="C113" i="48"/>
  <c r="C146" i="48"/>
  <c r="C82" i="48"/>
  <c r="B90" i="48"/>
  <c r="AI22" i="33"/>
  <c r="C67" i="48"/>
  <c r="AI27" i="33"/>
  <c r="B13" i="48"/>
  <c r="B17" i="48"/>
  <c r="E12" i="33"/>
  <c r="B143" i="48"/>
  <c r="K32" i="33"/>
  <c r="C42" i="48"/>
  <c r="B104" i="48"/>
  <c r="B82" i="48"/>
  <c r="B135" i="48"/>
  <c r="C108" i="48"/>
  <c r="T37" i="33"/>
  <c r="C98" i="48"/>
  <c r="B98" i="48"/>
  <c r="Q27" i="33"/>
  <c r="C123" i="48"/>
  <c r="B123" i="48"/>
  <c r="R79" i="33"/>
  <c r="C140" i="48"/>
  <c r="B140" i="48"/>
  <c r="L97" i="33"/>
  <c r="N32" i="33"/>
  <c r="B97" i="48"/>
  <c r="F79" i="33"/>
  <c r="C69" i="48"/>
  <c r="C16" i="48"/>
  <c r="C35" i="48"/>
  <c r="E37" i="33"/>
  <c r="C68" i="48"/>
  <c r="C37" i="48"/>
  <c r="E22" i="33"/>
  <c r="B100" i="48"/>
  <c r="C65" i="48"/>
  <c r="B35" i="48"/>
  <c r="H32" i="33"/>
  <c r="AC22" i="33"/>
  <c r="C90" i="48"/>
  <c r="B79" i="48"/>
  <c r="C126" i="48"/>
  <c r="AF32" i="33"/>
  <c r="W27" i="33"/>
  <c r="C83" i="48"/>
  <c r="B124" i="48"/>
  <c r="B80" i="48"/>
  <c r="T27" i="33"/>
  <c r="B83" i="48"/>
  <c r="N37" i="33"/>
  <c r="B113" i="48"/>
  <c r="B47" i="48"/>
  <c r="B5" i="48"/>
  <c r="B17" i="33"/>
  <c r="B72" i="48"/>
  <c r="C138" i="48"/>
  <c r="Z32" i="33"/>
  <c r="C97" i="48"/>
  <c r="C132" i="48"/>
  <c r="D124" i="48"/>
  <c r="D121" i="48"/>
  <c r="E123" i="48"/>
  <c r="D120" i="48"/>
  <c r="D123" i="48"/>
  <c r="AF11" i="33"/>
  <c r="I31" i="48"/>
  <c r="AC21" i="33"/>
  <c r="AI31" i="33"/>
  <c r="H90" i="22"/>
  <c r="I112" i="48" s="1"/>
  <c r="R2" i="33"/>
  <c r="U2" i="33"/>
  <c r="H82" i="22"/>
  <c r="I101" i="48" s="1"/>
  <c r="H67" i="22"/>
  <c r="H11" i="22"/>
  <c r="H63" i="22"/>
  <c r="B8" i="48"/>
  <c r="C2" i="33"/>
  <c r="X2" i="33"/>
  <c r="H54" i="22"/>
  <c r="AC11" i="33"/>
  <c r="I90" i="48"/>
  <c r="Q17" i="33"/>
  <c r="H50" i="22"/>
  <c r="H13" i="22"/>
  <c r="H17" i="22"/>
  <c r="H75" i="22"/>
  <c r="I140" i="48"/>
  <c r="C88" i="48"/>
  <c r="AC32" i="33"/>
  <c r="AI16" i="33"/>
  <c r="H9" i="22"/>
  <c r="AF27" i="33"/>
  <c r="B63" i="48"/>
  <c r="K17" i="33"/>
  <c r="B12" i="48"/>
  <c r="C12" i="48"/>
  <c r="C106" i="48"/>
  <c r="B106" i="48"/>
  <c r="H60" i="22"/>
  <c r="H25" i="22"/>
  <c r="H14" i="22"/>
  <c r="C63" i="48"/>
  <c r="D5" i="44"/>
  <c r="G5" i="44"/>
  <c r="C8" i="48"/>
  <c r="H106" i="22"/>
  <c r="I135" i="48" s="1"/>
  <c r="I23" i="3"/>
  <c r="C17" i="3"/>
  <c r="E79" i="18"/>
  <c r="E46" i="18"/>
  <c r="E7" i="18"/>
  <c r="D47" i="26" s="1"/>
  <c r="D5" i="69" s="1"/>
  <c r="I11" i="3"/>
  <c r="W22" i="68"/>
  <c r="E70" i="18"/>
  <c r="E38" i="18"/>
  <c r="F23" i="3"/>
  <c r="E64" i="18"/>
  <c r="D8" i="26" s="1"/>
  <c r="J4" i="22" s="1"/>
  <c r="E31" i="18"/>
  <c r="D24" i="26" s="1"/>
  <c r="I9" i="22" s="1"/>
  <c r="K18" i="33" s="1"/>
  <c r="P23" i="70" s="1"/>
  <c r="F17" i="3"/>
  <c r="E62" i="18"/>
  <c r="E29" i="18"/>
  <c r="F11" i="3"/>
  <c r="E89" i="18"/>
  <c r="D40" i="26" s="1"/>
  <c r="D8" i="64" s="1"/>
  <c r="E56" i="18"/>
  <c r="D59" i="26" s="1"/>
  <c r="J50" i="22" s="1"/>
  <c r="E22" i="18"/>
  <c r="D15" i="26" s="1"/>
  <c r="N9" i="48" s="1"/>
  <c r="AZ9" i="33" s="1"/>
  <c r="E87" i="18"/>
  <c r="D19" i="26" s="1"/>
  <c r="I8" i="22" s="1"/>
  <c r="E54" i="18"/>
  <c r="E19" i="18"/>
  <c r="D22" i="26" s="1"/>
  <c r="I7" i="22" s="1"/>
  <c r="C23" i="3"/>
  <c r="Z11" i="33"/>
  <c r="H45" i="22"/>
  <c r="M4" i="19" a="1"/>
  <c r="B130" i="48"/>
  <c r="H12" i="22"/>
  <c r="T17" i="33"/>
  <c r="C21" i="48"/>
  <c r="C121" i="48"/>
  <c r="H58" i="22"/>
  <c r="B96" i="48"/>
  <c r="H71" i="22"/>
  <c r="B142" i="48"/>
  <c r="K111" i="22"/>
  <c r="L85" i="33" s="1"/>
  <c r="AC17" i="33"/>
  <c r="C28" i="48"/>
  <c r="AF17" i="33"/>
  <c r="B32" i="48"/>
  <c r="E32" i="33"/>
  <c r="B67" i="48"/>
  <c r="B58" i="48"/>
  <c r="C101" i="48"/>
  <c r="B101" i="48"/>
  <c r="C118" i="48"/>
  <c r="B118" i="48"/>
  <c r="C53" i="48"/>
  <c r="B53" i="48"/>
  <c r="Z22" i="33"/>
  <c r="I65" i="48"/>
  <c r="H32" i="22"/>
  <c r="C57" i="48"/>
  <c r="B57" i="48"/>
  <c r="I5" i="44"/>
  <c r="E5" i="44"/>
  <c r="H5" i="44"/>
  <c r="H17" i="3"/>
  <c r="B11" i="3"/>
  <c r="E11" i="3"/>
  <c r="B17" i="3"/>
  <c r="E17" i="3"/>
  <c r="H11" i="3"/>
  <c r="B23" i="3"/>
  <c r="E23" i="3"/>
  <c r="H23" i="3"/>
  <c r="N10" i="48"/>
  <c r="AZ10" i="33" s="1"/>
  <c r="J46" i="22"/>
  <c r="J72" i="22"/>
  <c r="D7" i="66"/>
  <c r="H14" i="3"/>
  <c r="E88" i="18"/>
  <c r="E80" i="18"/>
  <c r="E71" i="18"/>
  <c r="D43" i="26" s="1"/>
  <c r="J40" i="22" s="1"/>
  <c r="E63" i="18"/>
  <c r="E55" i="18"/>
  <c r="E47" i="18"/>
  <c r="E39" i="18"/>
  <c r="E30" i="18"/>
  <c r="E20" i="18"/>
  <c r="D7" i="26" s="1"/>
  <c r="I31" i="22" s="1"/>
  <c r="B28" i="33" s="1"/>
  <c r="P25" i="61" s="1"/>
  <c r="E9" i="18"/>
  <c r="D17" i="26" s="1"/>
  <c r="D5" i="63" s="1"/>
  <c r="D14" i="63" s="1"/>
  <c r="E197" i="18"/>
  <c r="E21" i="18"/>
  <c r="D45" i="26" s="1"/>
  <c r="D8" i="65" s="1"/>
  <c r="D17" i="65" s="1"/>
  <c r="E100" i="18"/>
  <c r="E86" i="18"/>
  <c r="E78" i="18"/>
  <c r="E69" i="18"/>
  <c r="E61" i="18"/>
  <c r="E53" i="18"/>
  <c r="E45" i="18"/>
  <c r="E37" i="18"/>
  <c r="D65" i="26" s="1"/>
  <c r="J24" i="22" s="1"/>
  <c r="E27" i="18"/>
  <c r="D30" i="26" s="1"/>
  <c r="I37" i="22" s="1"/>
  <c r="E18" i="18"/>
  <c r="D60" i="26" s="1"/>
  <c r="H21" i="3" s="1"/>
  <c r="E6" i="18"/>
  <c r="D52" i="26" s="1"/>
  <c r="I46" i="22" s="1"/>
  <c r="E14" i="18"/>
  <c r="D27" i="26" s="1"/>
  <c r="E186" i="18"/>
  <c r="E11" i="18"/>
  <c r="D32" i="26" s="1"/>
  <c r="D5" i="71" s="1"/>
  <c r="D14" i="71" s="1"/>
  <c r="E93" i="18"/>
  <c r="E85" i="18"/>
  <c r="D28" i="26" s="1"/>
  <c r="D6" i="72" s="1"/>
  <c r="E77" i="18"/>
  <c r="E68" i="18"/>
  <c r="D55" i="26" s="1"/>
  <c r="D8" i="66" s="1"/>
  <c r="E60" i="18"/>
  <c r="D14" i="26" s="1"/>
  <c r="J30" i="22" s="1"/>
  <c r="F28" i="33" s="1"/>
  <c r="Q25" i="62" s="1"/>
  <c r="E52" i="18"/>
  <c r="E44" i="18"/>
  <c r="D23" i="26" s="1"/>
  <c r="J34" i="22" s="1"/>
  <c r="E36" i="18"/>
  <c r="D50" i="26" s="1"/>
  <c r="J21" i="22" s="1"/>
  <c r="E26" i="18"/>
  <c r="D9" i="26" s="1"/>
  <c r="J31" i="22" s="1"/>
  <c r="E17" i="18"/>
  <c r="E5" i="18"/>
  <c r="D42" i="26" s="1"/>
  <c r="D5" i="65" s="1"/>
  <c r="E92" i="18"/>
  <c r="E84" i="18"/>
  <c r="E75" i="18"/>
  <c r="E67" i="18"/>
  <c r="E59" i="18"/>
  <c r="E51" i="18"/>
  <c r="D35" i="26" s="1"/>
  <c r="E15" i="3" s="1"/>
  <c r="E43" i="18"/>
  <c r="E35" i="18"/>
  <c r="D38" i="26" s="1"/>
  <c r="I66" i="22" s="1"/>
  <c r="T33" i="33" s="1"/>
  <c r="P26" i="64" s="1"/>
  <c r="E25" i="18"/>
  <c r="E16" i="18"/>
  <c r="D48" i="26" s="1"/>
  <c r="J44" i="22" s="1"/>
  <c r="AA28" i="33" s="1"/>
  <c r="Q25" i="69" s="1"/>
  <c r="E34" i="18"/>
  <c r="E13" i="18"/>
  <c r="D37" i="26" s="1"/>
  <c r="J67" i="22" s="1"/>
  <c r="E91" i="18"/>
  <c r="E83" i="18"/>
  <c r="E74" i="18"/>
  <c r="E66" i="18"/>
  <c r="E58" i="18"/>
  <c r="E50" i="18"/>
  <c r="E42" i="18"/>
  <c r="D20" i="26" s="1"/>
  <c r="B21" i="3" s="1"/>
  <c r="E33" i="18"/>
  <c r="D12" i="26" s="1"/>
  <c r="B12" i="3" s="1"/>
  <c r="E24" i="18"/>
  <c r="D39" i="26" s="1"/>
  <c r="D7" i="64" s="1"/>
  <c r="D16" i="64" s="1"/>
  <c r="E15" i="18"/>
  <c r="D63" i="26" s="1"/>
  <c r="D6" i="67" s="1"/>
  <c r="D15" i="67" s="1"/>
  <c r="E76" i="18"/>
  <c r="D64" i="26" s="1"/>
  <c r="I24" i="22" s="1"/>
  <c r="E90" i="18"/>
  <c r="E82" i="18"/>
  <c r="E73" i="18"/>
  <c r="E65" i="18"/>
  <c r="D44" i="26" s="1"/>
  <c r="J41" i="22" s="1"/>
  <c r="E57" i="18"/>
  <c r="E49" i="18"/>
  <c r="E41" i="18"/>
  <c r="D29" i="26" s="1"/>
  <c r="J58" i="22" s="1"/>
  <c r="E32" i="18"/>
  <c r="D53" i="26" s="1"/>
  <c r="J22" i="22" s="1"/>
  <c r="AD13" i="33" s="1"/>
  <c r="Q22" i="66" s="1"/>
  <c r="E23" i="18"/>
  <c r="D33" i="26" s="1"/>
  <c r="J14" i="22" s="1"/>
  <c r="R13" i="33" s="1"/>
  <c r="Q22" i="71" s="1"/>
  <c r="E12" i="18"/>
  <c r="D18" i="26" s="1"/>
  <c r="D6" i="63" s="1"/>
  <c r="D15" i="63" s="1"/>
  <c r="E96" i="18"/>
  <c r="D49" i="26" s="1"/>
  <c r="J45" i="22" s="1"/>
  <c r="E97" i="18"/>
  <c r="E99" i="18"/>
  <c r="D25" i="26" s="1"/>
  <c r="J9" i="22" s="1"/>
  <c r="E94" i="18"/>
  <c r="E95" i="18"/>
  <c r="D58" i="26" s="1"/>
  <c r="H19" i="3" s="1"/>
  <c r="E98" i="18"/>
  <c r="D34" i="26" s="1"/>
  <c r="D7" i="71" s="1"/>
  <c r="X24" i="61"/>
  <c r="Y26" i="61"/>
  <c r="Y22" i="61"/>
  <c r="W26" i="61"/>
  <c r="X22" i="61"/>
  <c r="W24" i="68"/>
  <c r="X26" i="61"/>
  <c r="D28" i="48"/>
  <c r="Y25" i="61"/>
  <c r="W25" i="61"/>
  <c r="X25" i="61"/>
  <c r="W24" i="61"/>
  <c r="Y24" i="61"/>
  <c r="I39" i="22"/>
  <c r="Y22" i="66"/>
  <c r="E132" i="48"/>
  <c r="Y23" i="61"/>
  <c r="Y27" i="61"/>
  <c r="W27" i="61"/>
  <c r="W23" i="61"/>
  <c r="X23" i="61"/>
  <c r="X27" i="61"/>
  <c r="W22" i="61"/>
  <c r="Y24" i="64"/>
  <c r="X26" i="66"/>
  <c r="W24" i="66"/>
  <c r="X22" i="64"/>
  <c r="W27" i="63"/>
  <c r="X22" i="66"/>
  <c r="E130" i="48"/>
  <c r="B94" i="48"/>
  <c r="W23" i="69"/>
  <c r="W22" i="65"/>
  <c r="X26" i="67"/>
  <c r="D127" i="48"/>
  <c r="W24" i="67"/>
  <c r="Q37" i="33"/>
  <c r="L87" i="33"/>
  <c r="X26" i="70"/>
  <c r="X27" i="71"/>
  <c r="Y24" i="65"/>
  <c r="X26" i="69"/>
  <c r="Y22" i="62"/>
  <c r="X24" i="63"/>
  <c r="Y24" i="72"/>
  <c r="O69" i="33"/>
  <c r="O74" i="33"/>
  <c r="M58" i="33" s="1"/>
  <c r="Q74" i="33"/>
  <c r="P58" i="33" s="1"/>
  <c r="Q57" i="33" s="1"/>
  <c r="Y22" i="67"/>
  <c r="W26" i="67"/>
  <c r="Y26" i="67"/>
  <c r="W27" i="67"/>
  <c r="E143" i="48"/>
  <c r="D130" i="48"/>
  <c r="C75" i="48"/>
  <c r="X23" i="65"/>
  <c r="B37" i="33"/>
  <c r="W23" i="71"/>
  <c r="I26" i="22"/>
  <c r="H18" i="3"/>
  <c r="D5" i="68"/>
  <c r="D14" i="68" s="1"/>
  <c r="X25" i="64"/>
  <c r="W26" i="64"/>
  <c r="W22" i="69"/>
  <c r="Y22" i="68"/>
  <c r="W24" i="72"/>
  <c r="X24" i="72"/>
  <c r="Y22" i="64"/>
  <c r="Y22" i="65"/>
  <c r="Y26" i="69"/>
  <c r="W24" i="70"/>
  <c r="W23" i="64"/>
  <c r="W22" i="66"/>
  <c r="X24" i="68"/>
  <c r="X27" i="72"/>
  <c r="W27" i="68"/>
  <c r="X24" i="66"/>
  <c r="E146" i="48"/>
  <c r="W23" i="67"/>
  <c r="W22" i="67"/>
  <c r="Y23" i="67"/>
  <c r="X23" i="67"/>
  <c r="X22" i="67"/>
  <c r="X27" i="67"/>
  <c r="X23" i="68"/>
  <c r="W23" i="68"/>
  <c r="X23" i="62"/>
  <c r="W26" i="70"/>
  <c r="X26" i="71"/>
  <c r="J74" i="22"/>
  <c r="X22" i="72"/>
  <c r="I50" i="22"/>
  <c r="W23" i="63"/>
  <c r="Y23" i="71"/>
  <c r="W27" i="71"/>
  <c r="Y26" i="64"/>
  <c r="W22" i="64"/>
  <c r="W26" i="65"/>
  <c r="X25" i="70"/>
  <c r="X23" i="71"/>
  <c r="X24" i="64"/>
  <c r="J65" i="22"/>
  <c r="X22" i="68"/>
  <c r="X27" i="62"/>
  <c r="X25" i="63"/>
  <c r="Y24" i="70"/>
  <c r="X26" i="64"/>
  <c r="Y24" i="69"/>
  <c r="Y24" i="63"/>
  <c r="X27" i="65"/>
  <c r="X22" i="65"/>
  <c r="Y25" i="67"/>
  <c r="W25" i="67"/>
  <c r="X25" i="67"/>
  <c r="Y27" i="67"/>
  <c r="D14" i="67"/>
  <c r="X24" i="67"/>
  <c r="E74" i="33"/>
  <c r="D58" i="33" s="1"/>
  <c r="E58" i="33" s="1"/>
  <c r="C74" i="33"/>
  <c r="A58" i="33" s="1"/>
  <c r="C64" i="33" s="1"/>
  <c r="D48" i="33" s="1"/>
  <c r="C69" i="33"/>
  <c r="C68" i="33"/>
  <c r="Y24" i="67"/>
  <c r="E140" i="48"/>
  <c r="E127" i="48"/>
  <c r="O67" i="33"/>
  <c r="X25" i="71"/>
  <c r="W24" i="65"/>
  <c r="Y24" i="66"/>
  <c r="X25" i="66"/>
  <c r="Y23" i="68"/>
  <c r="X25" i="68"/>
  <c r="X23" i="63"/>
  <c r="W24" i="64"/>
  <c r="Y27" i="62"/>
  <c r="X23" i="70"/>
  <c r="Y26" i="65"/>
  <c r="X24" i="65"/>
  <c r="W24" i="69"/>
  <c r="Y24" i="68"/>
  <c r="W27" i="70"/>
  <c r="Y27" i="71"/>
  <c r="W23" i="65"/>
  <c r="X24" i="69"/>
  <c r="W23" i="66"/>
  <c r="Y23" i="62"/>
  <c r="Y23" i="63"/>
  <c r="X27" i="63"/>
  <c r="X24" i="70"/>
  <c r="X22" i="70"/>
  <c r="E126" i="48"/>
  <c r="U74" i="33"/>
  <c r="S58" i="33" s="1"/>
  <c r="W74" i="33"/>
  <c r="V58" i="33" s="1"/>
  <c r="U68" i="33"/>
  <c r="U67" i="33"/>
  <c r="U69" i="33"/>
  <c r="D146" i="48"/>
  <c r="D134" i="48"/>
  <c r="D132" i="48"/>
  <c r="N64" i="33"/>
  <c r="Y48" i="33" s="1"/>
  <c r="Q64" i="33"/>
  <c r="AE48" i="33" s="1"/>
  <c r="I67" i="33"/>
  <c r="I68" i="33"/>
  <c r="I74" i="33"/>
  <c r="G58" i="33" s="1"/>
  <c r="K74" i="33"/>
  <c r="J58" i="33" s="1"/>
  <c r="I69" i="33"/>
  <c r="B88" i="48"/>
  <c r="T22" i="33"/>
  <c r="C67" i="33"/>
  <c r="B21" i="48"/>
  <c r="X27" i="69"/>
  <c r="Y27" i="69"/>
  <c r="W27" i="69"/>
  <c r="X27" i="66"/>
  <c r="Y27" i="66"/>
  <c r="W27" i="66"/>
  <c r="X27" i="64"/>
  <c r="Y27" i="64"/>
  <c r="W27" i="64"/>
  <c r="W25" i="72"/>
  <c r="X25" i="72"/>
  <c r="Y25" i="72"/>
  <c r="Y26" i="68"/>
  <c r="W26" i="68"/>
  <c r="X26" i="68"/>
  <c r="I49" i="22"/>
  <c r="X22" i="69"/>
  <c r="Y22" i="69"/>
  <c r="W22" i="72"/>
  <c r="Y22" i="72"/>
  <c r="I48" i="22"/>
  <c r="J70" i="22"/>
  <c r="H24" i="3"/>
  <c r="I25" i="22"/>
  <c r="X22" i="63"/>
  <c r="Y22" i="63"/>
  <c r="Y27" i="65"/>
  <c r="W27" i="65"/>
  <c r="X26" i="72"/>
  <c r="Y26" i="72"/>
  <c r="X25" i="62"/>
  <c r="Y23" i="69"/>
  <c r="W22" i="63"/>
  <c r="W22" i="70"/>
  <c r="X23" i="64"/>
  <c r="W26" i="69"/>
  <c r="Y26" i="66"/>
  <c r="W27" i="62"/>
  <c r="Y22" i="70"/>
  <c r="W27" i="72"/>
  <c r="W23" i="72"/>
  <c r="J63" i="22"/>
  <c r="X27" i="68"/>
  <c r="Y24" i="62"/>
  <c r="W26" i="63"/>
  <c r="X27" i="70"/>
  <c r="W26" i="72"/>
  <c r="W23" i="62"/>
  <c r="W24" i="63"/>
  <c r="Y25" i="63"/>
  <c r="Y26" i="70"/>
  <c r="X23" i="66"/>
  <c r="D138" i="48"/>
  <c r="D143" i="48"/>
  <c r="E135" i="48"/>
  <c r="Y26" i="62"/>
  <c r="W26" i="62"/>
  <c r="X26" i="62"/>
  <c r="W22" i="62"/>
  <c r="X22" i="62"/>
  <c r="Y25" i="62"/>
  <c r="W23" i="70"/>
  <c r="Y23" i="72"/>
  <c r="Y25" i="70"/>
  <c r="X23" i="72"/>
  <c r="W24" i="71"/>
  <c r="X24" i="71"/>
  <c r="Y24" i="71"/>
  <c r="Y23" i="70"/>
  <c r="W24" i="62"/>
  <c r="X24" i="62"/>
  <c r="Y26" i="63"/>
  <c r="X26" i="63"/>
  <c r="X25" i="69"/>
  <c r="Y25" i="69"/>
  <c r="W25" i="69"/>
  <c r="Y22" i="71"/>
  <c r="X26" i="65"/>
  <c r="W25" i="62"/>
  <c r="W25" i="63"/>
  <c r="W25" i="70"/>
  <c r="Y25" i="71"/>
  <c r="W25" i="71"/>
  <c r="Y23" i="64"/>
  <c r="Y23" i="65"/>
  <c r="X25" i="65"/>
  <c r="Y25" i="65"/>
  <c r="W25" i="65"/>
  <c r="X23" i="69"/>
  <c r="Y27" i="63"/>
  <c r="Y27" i="70"/>
  <c r="Y27" i="72"/>
  <c r="Y26" i="71"/>
  <c r="W26" i="71"/>
  <c r="Y25" i="64"/>
  <c r="W25" i="64"/>
  <c r="W22" i="71"/>
  <c r="X22" i="71"/>
  <c r="Y23" i="66"/>
  <c r="W25" i="66"/>
  <c r="W25" i="68"/>
  <c r="W26" i="66"/>
  <c r="Y27" i="68"/>
  <c r="Y25" i="66"/>
  <c r="Y25" i="68"/>
  <c r="Q58" i="33" l="1"/>
  <c r="R64" i="33"/>
  <c r="AH48" i="33" s="1"/>
  <c r="AI49" i="33" s="1"/>
  <c r="B146" i="48"/>
  <c r="B38" i="48"/>
  <c r="B48" i="48"/>
  <c r="H22" i="33"/>
  <c r="Q59" i="33"/>
  <c r="C58" i="48"/>
  <c r="C110" i="48"/>
  <c r="B110" i="48"/>
  <c r="N12" i="33"/>
  <c r="C17" i="48"/>
  <c r="B22" i="33"/>
  <c r="C36" i="48"/>
  <c r="B36" i="48"/>
  <c r="C127" i="48"/>
  <c r="B127" i="48"/>
  <c r="E17" i="33"/>
  <c r="B15" i="48"/>
  <c r="C15" i="48"/>
  <c r="B12" i="33"/>
  <c r="B26" i="48"/>
  <c r="K27" i="33"/>
  <c r="B27" i="33"/>
  <c r="C120" i="48"/>
  <c r="B120" i="48"/>
  <c r="C102" i="48"/>
  <c r="B102" i="48"/>
  <c r="Q22" i="33"/>
  <c r="B4" i="48"/>
  <c r="C81" i="48"/>
  <c r="AI37" i="33"/>
  <c r="K37" i="33"/>
  <c r="B77" i="48"/>
  <c r="C77" i="48"/>
  <c r="C27" i="48"/>
  <c r="B27" i="48"/>
  <c r="AI17" i="33"/>
  <c r="C76" i="48"/>
  <c r="C22" i="48"/>
  <c r="AC12" i="33"/>
  <c r="T32" i="33"/>
  <c r="K12" i="33"/>
  <c r="C48" i="48"/>
  <c r="T12" i="33"/>
  <c r="B20" i="48"/>
  <c r="W12" i="33"/>
  <c r="C20" i="48"/>
  <c r="B105" i="48"/>
  <c r="C105" i="48"/>
  <c r="B66" i="48"/>
  <c r="H37" i="33"/>
  <c r="C66" i="48"/>
  <c r="B76" i="48"/>
  <c r="B22" i="48"/>
  <c r="C143" i="48"/>
  <c r="C91" i="48"/>
  <c r="B91" i="48"/>
  <c r="AF37" i="33"/>
  <c r="B62" i="48"/>
  <c r="AF22" i="33"/>
  <c r="C62" i="48"/>
  <c r="C73" i="48"/>
  <c r="H12" i="33"/>
  <c r="B7" i="48"/>
  <c r="B31" i="48"/>
  <c r="C52" i="48"/>
  <c r="Z27" i="33"/>
  <c r="B52" i="48"/>
  <c r="C134" i="48"/>
  <c r="B134" i="48"/>
  <c r="AI32" i="33"/>
  <c r="N59" i="33"/>
  <c r="B73" i="48"/>
  <c r="C13" i="48"/>
  <c r="C31" i="48"/>
  <c r="C26" i="48"/>
  <c r="K22" i="33"/>
  <c r="B42" i="48"/>
  <c r="B43" i="48"/>
  <c r="N22" i="33"/>
  <c r="C43" i="48"/>
  <c r="C109" i="48"/>
  <c r="B109" i="48"/>
  <c r="Z37" i="33"/>
  <c r="C80" i="48"/>
  <c r="Z12" i="33"/>
  <c r="B25" i="48"/>
  <c r="C25" i="48"/>
  <c r="B32" i="33"/>
  <c r="C70" i="48"/>
  <c r="B70" i="48"/>
  <c r="B138" i="48"/>
  <c r="C18" i="48"/>
  <c r="Q12" i="33"/>
  <c r="B18" i="48"/>
  <c r="N17" i="33"/>
  <c r="B11" i="48"/>
  <c r="C11" i="48"/>
  <c r="B114" i="48"/>
  <c r="C114" i="48"/>
  <c r="B117" i="48"/>
  <c r="C117" i="48"/>
  <c r="C74" i="48"/>
  <c r="Q32" i="33"/>
  <c r="B74" i="48"/>
  <c r="B89" i="48"/>
  <c r="C89" i="48"/>
  <c r="AC37" i="33"/>
  <c r="AC27" i="33"/>
  <c r="B64" i="33"/>
  <c r="A48" i="33" s="1"/>
  <c r="B49" i="33" s="1"/>
  <c r="B69" i="48"/>
  <c r="B16" i="48"/>
  <c r="H27" i="33"/>
  <c r="B57" i="33"/>
  <c r="C33" i="48"/>
  <c r="B33" i="48"/>
  <c r="AI12" i="33"/>
  <c r="F64" i="33"/>
  <c r="J48" i="33" s="1"/>
  <c r="K49" i="33" s="1"/>
  <c r="O64" i="33"/>
  <c r="AB48" i="33" s="1"/>
  <c r="AC47" i="33" s="1"/>
  <c r="N57" i="33"/>
  <c r="N58" i="33"/>
  <c r="H20" i="3"/>
  <c r="I27" i="22"/>
  <c r="D7" i="68"/>
  <c r="D16" i="68" s="1"/>
  <c r="J75" i="22"/>
  <c r="AG38" i="33" s="1"/>
  <c r="Q27" i="68" s="1"/>
  <c r="D10" i="26"/>
  <c r="D8" i="61" s="1"/>
  <c r="D17" i="61" s="1"/>
  <c r="D7" i="63"/>
  <c r="D16" i="63" s="1"/>
  <c r="J11" i="22"/>
  <c r="F18" i="33" s="1"/>
  <c r="Q23" i="62" s="1"/>
  <c r="Q7" i="68"/>
  <c r="J42" i="22"/>
  <c r="U23" i="33" s="1"/>
  <c r="Q24" i="64" s="1"/>
  <c r="D8" i="70"/>
  <c r="D17" i="70" s="1"/>
  <c r="J43" i="22"/>
  <c r="U28" i="33" s="1"/>
  <c r="Q25" i="64" s="1"/>
  <c r="Q8" i="66"/>
  <c r="I51" i="22"/>
  <c r="D6" i="64"/>
  <c r="D15" i="64" s="1"/>
  <c r="B27" i="3"/>
  <c r="I18" i="22"/>
  <c r="T18" i="33" s="1"/>
  <c r="P23" i="64" s="1"/>
  <c r="D7" i="62"/>
  <c r="Q7" i="62" s="1"/>
  <c r="I74" i="22"/>
  <c r="AF33" i="33" s="1"/>
  <c r="P26" i="68" s="1"/>
  <c r="I34" i="22"/>
  <c r="I11" i="22"/>
  <c r="E18" i="33" s="1"/>
  <c r="P23" i="62" s="1"/>
  <c r="B14" i="3"/>
  <c r="E19" i="3"/>
  <c r="J55" i="22"/>
  <c r="F38" i="33" s="1"/>
  <c r="Q27" i="62" s="1"/>
  <c r="J19" i="22"/>
  <c r="E7" i="3"/>
  <c r="I53" i="22"/>
  <c r="H38" i="33" s="1"/>
  <c r="P27" i="63" s="1"/>
  <c r="J33" i="22"/>
  <c r="I23" i="33" s="1"/>
  <c r="Q24" i="63" s="1"/>
  <c r="N8" i="48"/>
  <c r="AZ8" i="33" s="1"/>
  <c r="J52" i="22"/>
  <c r="I33" i="33" s="1"/>
  <c r="Q26" i="63" s="1"/>
  <c r="H9" i="3"/>
  <c r="I62" i="22"/>
  <c r="K33" i="33" s="1"/>
  <c r="P26" i="70" s="1"/>
  <c r="D81" i="48"/>
  <c r="E20" i="3"/>
  <c r="J66" i="22"/>
  <c r="U33" i="33" s="1"/>
  <c r="Q26" i="64" s="1"/>
  <c r="Z32" i="64" s="1"/>
  <c r="Q7" i="64"/>
  <c r="Q7" i="66"/>
  <c r="D8" i="72"/>
  <c r="Q8" i="72" s="1"/>
  <c r="D17" i="66"/>
  <c r="I70" i="22"/>
  <c r="AI33" i="33" s="1"/>
  <c r="P26" i="67" s="1"/>
  <c r="D7" i="69"/>
  <c r="Q7" i="69" s="1"/>
  <c r="B20" i="3"/>
  <c r="D8" i="63"/>
  <c r="Q8" i="63" s="1"/>
  <c r="I69" i="22"/>
  <c r="D84" i="48" s="1"/>
  <c r="I61" i="22"/>
  <c r="D75" i="48" s="1"/>
  <c r="J32" i="22"/>
  <c r="J69" i="22"/>
  <c r="E84" i="48" s="1"/>
  <c r="I17" i="22"/>
  <c r="W13" i="33" s="1"/>
  <c r="P22" i="65" s="1"/>
  <c r="J8" i="22"/>
  <c r="E24" i="3"/>
  <c r="E27" i="3"/>
  <c r="I33" i="22"/>
  <c r="D38" i="48" s="1"/>
  <c r="I52" i="22"/>
  <c r="D65" i="48" s="1"/>
  <c r="I41" i="22"/>
  <c r="W23" i="33" s="1"/>
  <c r="P24" i="65" s="1"/>
  <c r="D8" i="71"/>
  <c r="D17" i="71" s="1"/>
  <c r="J53" i="22"/>
  <c r="I38" i="33" s="1"/>
  <c r="Q27" i="63" s="1"/>
  <c r="J15" i="22"/>
  <c r="E16" i="48" s="1"/>
  <c r="I58" i="22"/>
  <c r="N33" i="33" s="1"/>
  <c r="P26" i="72" s="1"/>
  <c r="J37" i="22"/>
  <c r="Q6" i="63"/>
  <c r="J13" i="22"/>
  <c r="E17" i="48" s="1"/>
  <c r="J10" i="22"/>
  <c r="I13" i="33" s="1"/>
  <c r="Q22" i="63" s="1"/>
  <c r="I38" i="22"/>
  <c r="Q23" i="33" s="1"/>
  <c r="P24" i="71" s="1"/>
  <c r="I32" i="22"/>
  <c r="E13" i="3"/>
  <c r="D5" i="64"/>
  <c r="Q5" i="64" s="1"/>
  <c r="I14" i="22"/>
  <c r="D18" i="48" s="1"/>
  <c r="J39" i="22"/>
  <c r="D7" i="61"/>
  <c r="Q7" i="61" s="1"/>
  <c r="J60" i="22"/>
  <c r="E74" i="48" s="1"/>
  <c r="D8" i="69"/>
  <c r="D17" i="69" s="1"/>
  <c r="Q8" i="65"/>
  <c r="I44" i="22"/>
  <c r="Z28" i="33" s="1"/>
  <c r="P25" i="69" s="1"/>
  <c r="I64" i="22"/>
  <c r="Z33" i="33" s="1"/>
  <c r="P26" i="69" s="1"/>
  <c r="H13" i="3"/>
  <c r="D6" i="66"/>
  <c r="Q6" i="66" s="1"/>
  <c r="J47" i="22"/>
  <c r="AD28" i="33" s="1"/>
  <c r="Q25" i="66" s="1"/>
  <c r="I72" i="22"/>
  <c r="J38" i="22"/>
  <c r="R23" i="33" s="1"/>
  <c r="Q24" i="71" s="1"/>
  <c r="J56" i="22"/>
  <c r="C33" i="33" s="1"/>
  <c r="Q26" i="61" s="1"/>
  <c r="B6" i="3"/>
  <c r="J57" i="22"/>
  <c r="E69" i="48" s="1"/>
  <c r="B8" i="3"/>
  <c r="I10" i="22"/>
  <c r="H13" i="33" s="1"/>
  <c r="P22" i="63" s="1"/>
  <c r="D6" i="71"/>
  <c r="D15" i="71" s="1"/>
  <c r="I5" i="22"/>
  <c r="B18" i="33" s="1"/>
  <c r="P23" i="61" s="1"/>
  <c r="B18" i="3"/>
  <c r="J23" i="22"/>
  <c r="AD18" i="33" s="1"/>
  <c r="Q23" i="66" s="1"/>
  <c r="E9" i="3"/>
  <c r="J54" i="22"/>
  <c r="F33" i="33" s="1"/>
  <c r="Q26" i="62" s="1"/>
  <c r="J35" i="22"/>
  <c r="L23" i="33" s="1"/>
  <c r="Q24" i="70" s="1"/>
  <c r="D7" i="70"/>
  <c r="Q7" i="70" s="1"/>
  <c r="D7" i="65"/>
  <c r="Q7" i="65" s="1"/>
  <c r="J68" i="22"/>
  <c r="X33" i="33" s="1"/>
  <c r="Q26" i="65" s="1"/>
  <c r="D5" i="62"/>
  <c r="D14" i="62" s="1"/>
  <c r="D12" i="48"/>
  <c r="J61" i="22"/>
  <c r="R38" i="33" s="1"/>
  <c r="Q27" i="71" s="1"/>
  <c r="I47" i="22"/>
  <c r="I59" i="22"/>
  <c r="N38" i="33" s="1"/>
  <c r="P27" i="72" s="1"/>
  <c r="E12" i="3"/>
  <c r="J12" i="22"/>
  <c r="O18" i="33" s="1"/>
  <c r="Q23" i="72" s="1"/>
  <c r="I73" i="22"/>
  <c r="AC38" i="33" s="1"/>
  <c r="P27" i="66" s="1"/>
  <c r="I19" i="22"/>
  <c r="T13" i="33" s="1"/>
  <c r="P22" i="64" s="1"/>
  <c r="I30" i="22"/>
  <c r="D35" i="48" s="1"/>
  <c r="I6" i="22"/>
  <c r="E13" i="33" s="1"/>
  <c r="P22" i="62" s="1"/>
  <c r="B26" i="3"/>
  <c r="E18" i="48"/>
  <c r="H15" i="3"/>
  <c r="I60" i="22"/>
  <c r="Q33" i="33" s="1"/>
  <c r="P26" i="71" s="1"/>
  <c r="D13" i="26"/>
  <c r="I57" i="22"/>
  <c r="B38" i="33" s="1"/>
  <c r="P27" i="61" s="1"/>
  <c r="D6" i="69"/>
  <c r="Q6" i="69" s="1"/>
  <c r="J51" i="22"/>
  <c r="AG28" i="33" s="1"/>
  <c r="Q25" i="68" s="1"/>
  <c r="D6" i="68"/>
  <c r="D15" i="68" s="1"/>
  <c r="I12" i="22"/>
  <c r="N18" i="33" s="1"/>
  <c r="P23" i="72" s="1"/>
  <c r="J36" i="22"/>
  <c r="O23" i="33" s="1"/>
  <c r="Q24" i="72" s="1"/>
  <c r="J26" i="22"/>
  <c r="AG13" i="33" s="1"/>
  <c r="Q22" i="68" s="1"/>
  <c r="E52" i="48"/>
  <c r="I63" i="22"/>
  <c r="K38" i="33" s="1"/>
  <c r="P27" i="70" s="1"/>
  <c r="I75" i="22"/>
  <c r="AF38" i="33" s="1"/>
  <c r="P27" i="68" s="1"/>
  <c r="D6" i="70"/>
  <c r="D15" i="70" s="1"/>
  <c r="I65" i="22"/>
  <c r="Z38" i="33" s="1"/>
  <c r="P27" i="69" s="1"/>
  <c r="J7" i="22"/>
  <c r="L13" i="33" s="1"/>
  <c r="Q22" i="70" s="1"/>
  <c r="E8" i="3"/>
  <c r="J71" i="22"/>
  <c r="J20" i="22"/>
  <c r="AA13" i="33" s="1"/>
  <c r="Q22" i="69" s="1"/>
  <c r="D7" i="72"/>
  <c r="Q6" i="72"/>
  <c r="H7" i="3"/>
  <c r="Q8" i="64"/>
  <c r="D17" i="64"/>
  <c r="D16" i="66"/>
  <c r="I20" i="22"/>
  <c r="Z13" i="33" s="1"/>
  <c r="P22" i="69" s="1"/>
  <c r="D6" i="61"/>
  <c r="Q6" i="61" s="1"/>
  <c r="J64" i="22"/>
  <c r="AA33" i="33" s="1"/>
  <c r="Q26" i="69" s="1"/>
  <c r="H6" i="3"/>
  <c r="I45" i="22"/>
  <c r="Z23" i="33" s="1"/>
  <c r="P24" i="69" s="1"/>
  <c r="E21" i="3"/>
  <c r="Q5" i="68"/>
  <c r="I43" i="22"/>
  <c r="T28" i="33" s="1"/>
  <c r="P25" i="64" s="1"/>
  <c r="J18" i="22"/>
  <c r="U18" i="33" s="1"/>
  <c r="Q23" i="64" s="1"/>
  <c r="B24" i="3"/>
  <c r="J62" i="22"/>
  <c r="L33" i="33" s="1"/>
  <c r="Q26" i="70" s="1"/>
  <c r="I67" i="22"/>
  <c r="T38" i="33" s="1"/>
  <c r="P27" i="64" s="1"/>
  <c r="D5" i="70"/>
  <c r="Q5" i="70" s="1"/>
  <c r="B7" i="3"/>
  <c r="J28" i="22"/>
  <c r="C23" i="33" s="1"/>
  <c r="Q24" i="61" s="1"/>
  <c r="I35" i="22"/>
  <c r="D42" i="48" s="1"/>
  <c r="B19" i="3"/>
  <c r="I68" i="22"/>
  <c r="W33" i="33" s="1"/>
  <c r="P26" i="65" s="1"/>
  <c r="E25" i="3"/>
  <c r="D6" i="65"/>
  <c r="D15" i="65" s="1"/>
  <c r="B25" i="3"/>
  <c r="J17" i="22"/>
  <c r="X13" i="33" s="1"/>
  <c r="Q22" i="65" s="1"/>
  <c r="D5" i="66"/>
  <c r="Q5" i="66" s="1"/>
  <c r="I54" i="22"/>
  <c r="I71" i="22"/>
  <c r="AI38" i="33" s="1"/>
  <c r="P27" i="67" s="1"/>
  <c r="I29" i="22"/>
  <c r="E23" i="33" s="1"/>
  <c r="P24" i="62" s="1"/>
  <c r="J25" i="22"/>
  <c r="AJ13" i="33" s="1"/>
  <c r="Q22" i="67" s="1"/>
  <c r="B15" i="3"/>
  <c r="J49" i="22"/>
  <c r="AJ28" i="33" s="1"/>
  <c r="Q25" i="67" s="1"/>
  <c r="J73" i="22"/>
  <c r="AD38" i="33" s="1"/>
  <c r="Q27" i="66" s="1"/>
  <c r="D8" i="62"/>
  <c r="D17" i="62" s="1"/>
  <c r="Q6" i="67"/>
  <c r="H25" i="3"/>
  <c r="B58" i="33"/>
  <c r="AI11" i="33"/>
  <c r="I33" i="48"/>
  <c r="K16" i="33"/>
  <c r="I12" i="48"/>
  <c r="B59" i="33"/>
  <c r="E35" i="48"/>
  <c r="I74" i="48"/>
  <c r="Q31" i="33"/>
  <c r="Q7" i="71"/>
  <c r="K13" i="33"/>
  <c r="P22" i="70" s="1"/>
  <c r="D7" i="48"/>
  <c r="I82" i="48"/>
  <c r="T36" i="33"/>
  <c r="I91" i="48"/>
  <c r="AF36" i="33"/>
  <c r="I17" i="48"/>
  <c r="N11" i="33"/>
  <c r="I20" i="48"/>
  <c r="W11" i="33"/>
  <c r="I62" i="48"/>
  <c r="AF21" i="33"/>
  <c r="I77" i="48"/>
  <c r="K36" i="33"/>
  <c r="Q11" i="33"/>
  <c r="I18" i="48"/>
  <c r="I67" i="48"/>
  <c r="E31" i="33"/>
  <c r="I15" i="48"/>
  <c r="E16" i="33"/>
  <c r="I4" i="22"/>
  <c r="B13" i="33" s="1"/>
  <c r="P22" i="61" s="1"/>
  <c r="D5" i="61"/>
  <c r="D14" i="61" s="1"/>
  <c r="I73" i="48"/>
  <c r="N31" i="33"/>
  <c r="I42" i="22"/>
  <c r="E18" i="3"/>
  <c r="Q5" i="63"/>
  <c r="I15" i="22"/>
  <c r="E14" i="3"/>
  <c r="J48" i="22"/>
  <c r="H26" i="3"/>
  <c r="D7" i="67"/>
  <c r="N7" i="48"/>
  <c r="AZ7" i="33" s="1"/>
  <c r="I36" i="22"/>
  <c r="J59" i="22"/>
  <c r="D5" i="72"/>
  <c r="I13" i="22"/>
  <c r="E6" i="3"/>
  <c r="I22" i="22"/>
  <c r="H12" i="3"/>
  <c r="H26" i="33"/>
  <c r="AI36" i="33"/>
  <c r="I11" i="48"/>
  <c r="N16" i="33"/>
  <c r="D8" i="68"/>
  <c r="J27" i="22"/>
  <c r="AD33" i="33"/>
  <c r="Q26" i="66" s="1"/>
  <c r="E88" i="48"/>
  <c r="I16" i="22"/>
  <c r="E26" i="3"/>
  <c r="AD23" i="33"/>
  <c r="Q24" i="66" s="1"/>
  <c r="I53" i="48"/>
  <c r="Z21" i="33"/>
  <c r="I21" i="22"/>
  <c r="H8" i="3"/>
  <c r="H27" i="3"/>
  <c r="D8" i="67"/>
  <c r="I40" i="22"/>
  <c r="J16" i="22"/>
  <c r="Q5" i="67"/>
  <c r="M4" i="19"/>
  <c r="M13" i="19"/>
  <c r="M14" i="19"/>
  <c r="M19" i="19"/>
  <c r="M18" i="19"/>
  <c r="M5" i="19"/>
  <c r="M12" i="19"/>
  <c r="M10" i="19"/>
  <c r="M17" i="19"/>
  <c r="M8" i="19"/>
  <c r="M11" i="19"/>
  <c r="M6" i="19"/>
  <c r="M15" i="19"/>
  <c r="M16" i="19"/>
  <c r="M9" i="19"/>
  <c r="M7" i="19"/>
  <c r="D16" i="71"/>
  <c r="L28" i="33"/>
  <c r="Q25" i="70" s="1"/>
  <c r="I28" i="33"/>
  <c r="Q25" i="63" s="1"/>
  <c r="Q28" i="33"/>
  <c r="P25" i="71" s="1"/>
  <c r="O33" i="33"/>
  <c r="Q26" i="72" s="1"/>
  <c r="E73" i="48"/>
  <c r="D15" i="72"/>
  <c r="E57" i="33"/>
  <c r="AC23" i="33"/>
  <c r="P24" i="66" s="1"/>
  <c r="E59" i="33"/>
  <c r="E64" i="33"/>
  <c r="G48" i="33" s="1"/>
  <c r="H48" i="33" s="1"/>
  <c r="Q5" i="71"/>
  <c r="X23" i="33"/>
  <c r="Q24" i="65" s="1"/>
  <c r="E48" i="48"/>
  <c r="L18" i="33"/>
  <c r="Q23" i="70" s="1"/>
  <c r="E12" i="48"/>
  <c r="AF13" i="33"/>
  <c r="P22" i="68" s="1"/>
  <c r="D31" i="48"/>
  <c r="AI18" i="33"/>
  <c r="P23" i="67" s="1"/>
  <c r="D27" i="48"/>
  <c r="X28" i="33"/>
  <c r="Q25" i="65" s="1"/>
  <c r="E47" i="48"/>
  <c r="AG33" i="33"/>
  <c r="Q26" i="68" s="1"/>
  <c r="E90" i="48"/>
  <c r="AC33" i="33"/>
  <c r="P26" i="66" s="1"/>
  <c r="D88" i="48"/>
  <c r="AA38" i="33"/>
  <c r="Q27" i="69" s="1"/>
  <c r="E80" i="48"/>
  <c r="AF23" i="33"/>
  <c r="P24" i="68" s="1"/>
  <c r="D62" i="48"/>
  <c r="C28" i="33"/>
  <c r="Q25" i="61" s="1"/>
  <c r="H18" i="33"/>
  <c r="P23" i="63" s="1"/>
  <c r="U38" i="33"/>
  <c r="Q27" i="64" s="1"/>
  <c r="E82" i="48"/>
  <c r="AA23" i="33"/>
  <c r="Q24" i="69" s="1"/>
  <c r="E53" i="48"/>
  <c r="R28" i="33"/>
  <c r="Q25" i="71" s="1"/>
  <c r="L38" i="33"/>
  <c r="Q27" i="70" s="1"/>
  <c r="E77" i="48"/>
  <c r="AA18" i="33"/>
  <c r="Q23" i="69" s="1"/>
  <c r="E26" i="48"/>
  <c r="E49" i="33"/>
  <c r="E54" i="33"/>
  <c r="E47" i="33"/>
  <c r="F54" i="33"/>
  <c r="E48" i="33"/>
  <c r="AJ18" i="33"/>
  <c r="Q23" i="67" s="1"/>
  <c r="E27" i="48"/>
  <c r="AA54" i="33"/>
  <c r="Z48" i="33"/>
  <c r="Z49" i="33"/>
  <c r="Z54" i="33"/>
  <c r="Z47" i="33"/>
  <c r="W58" i="33"/>
  <c r="W57" i="33"/>
  <c r="X64" i="33"/>
  <c r="AT48" i="33" s="1"/>
  <c r="W59" i="33"/>
  <c r="W64" i="33"/>
  <c r="AQ48" i="33" s="1"/>
  <c r="AI13" i="33"/>
  <c r="P22" i="67" s="1"/>
  <c r="D33" i="48"/>
  <c r="AI28" i="33"/>
  <c r="P25" i="67" s="1"/>
  <c r="D58" i="48"/>
  <c r="T58" i="33"/>
  <c r="T64" i="33"/>
  <c r="AK48" i="33" s="1"/>
  <c r="T59" i="33"/>
  <c r="U64" i="33"/>
  <c r="AN48" i="33" s="1"/>
  <c r="T57" i="33"/>
  <c r="AJ33" i="33"/>
  <c r="Q26" i="67" s="1"/>
  <c r="C13" i="33"/>
  <c r="Q22" i="61" s="1"/>
  <c r="E4" i="48"/>
  <c r="K59" i="33"/>
  <c r="K57" i="33"/>
  <c r="K58" i="33"/>
  <c r="K64" i="33"/>
  <c r="S48" i="33" s="1"/>
  <c r="L64" i="33"/>
  <c r="V48" i="33" s="1"/>
  <c r="AF49" i="33"/>
  <c r="AG54" i="33"/>
  <c r="AF54" i="33"/>
  <c r="AF48" i="33"/>
  <c r="AF47" i="33"/>
  <c r="AI23" i="33"/>
  <c r="P24" i="67" s="1"/>
  <c r="D57" i="48"/>
  <c r="H57" i="33"/>
  <c r="H58" i="33"/>
  <c r="H59" i="33"/>
  <c r="I64" i="33"/>
  <c r="P48" i="33" s="1"/>
  <c r="H64" i="33"/>
  <c r="M48" i="33" s="1"/>
  <c r="AG23" i="33"/>
  <c r="Q24" i="68" s="1"/>
  <c r="E62" i="48"/>
  <c r="N28" i="33"/>
  <c r="P25" i="72" s="1"/>
  <c r="E28" i="48"/>
  <c r="AF28" i="33"/>
  <c r="P25" i="68" s="1"/>
  <c r="D63" i="48"/>
  <c r="Q5" i="69"/>
  <c r="D14" i="69"/>
  <c r="AF18" i="33"/>
  <c r="P23" i="68" s="1"/>
  <c r="D32" i="48"/>
  <c r="I18" i="33"/>
  <c r="Q23" i="63" s="1"/>
  <c r="Q5" i="65"/>
  <c r="D14" i="65"/>
  <c r="O28" i="33"/>
  <c r="Q25" i="72" s="1"/>
  <c r="AI47" i="33" l="1"/>
  <c r="AD54" i="33"/>
  <c r="AC54" i="33"/>
  <c r="AC48" i="33"/>
  <c r="AC49" i="33"/>
  <c r="C54" i="33"/>
  <c r="AJ54" i="33"/>
  <c r="AI48" i="33"/>
  <c r="AI54" i="33"/>
  <c r="K54" i="33"/>
  <c r="K47" i="33"/>
  <c r="L54" i="33"/>
  <c r="K48" i="33"/>
  <c r="B48" i="33"/>
  <c r="B54" i="33"/>
  <c r="B47" i="33"/>
  <c r="E81" i="48"/>
  <c r="E91" i="48"/>
  <c r="D15" i="48"/>
  <c r="R18" i="33"/>
  <c r="Q23" i="71" s="1"/>
  <c r="B9" i="3"/>
  <c r="J5" i="22"/>
  <c r="E5" i="48" s="1"/>
  <c r="I28" i="22"/>
  <c r="B23" i="33" s="1"/>
  <c r="P24" i="61" s="1"/>
  <c r="Z24" i="61" s="1"/>
  <c r="Q8" i="61"/>
  <c r="I56" i="22"/>
  <c r="B33" i="33" s="1"/>
  <c r="P26" i="61" s="1"/>
  <c r="T26" i="61" s="1"/>
  <c r="K28" i="33"/>
  <c r="P25" i="70" s="1"/>
  <c r="D17" i="72"/>
  <c r="E15" i="48"/>
  <c r="E66" i="48"/>
  <c r="D73" i="48"/>
  <c r="U13" i="33"/>
  <c r="Q22" i="64" s="1"/>
  <c r="D80" i="48"/>
  <c r="D16" i="62"/>
  <c r="Q7" i="63"/>
  <c r="Q8" i="71"/>
  <c r="D11" i="48"/>
  <c r="D8" i="48"/>
  <c r="D69" i="48"/>
  <c r="O13" i="33"/>
  <c r="Q22" i="72" s="1"/>
  <c r="Q38" i="33"/>
  <c r="P27" i="71" s="1"/>
  <c r="T27" i="71" s="1"/>
  <c r="D52" i="48"/>
  <c r="E38" i="48"/>
  <c r="D76" i="48"/>
  <c r="D90" i="48"/>
  <c r="D14" i="64"/>
  <c r="D21" i="48"/>
  <c r="E68" i="48"/>
  <c r="Q8" i="70"/>
  <c r="D66" i="48"/>
  <c r="H23" i="33"/>
  <c r="P24" i="63" s="1"/>
  <c r="Z30" i="63" s="1"/>
  <c r="D17" i="63"/>
  <c r="X38" i="33"/>
  <c r="Q27" i="65" s="1"/>
  <c r="E7" i="48"/>
  <c r="Q6" i="64"/>
  <c r="E65" i="48"/>
  <c r="D16" i="61"/>
  <c r="E28" i="33"/>
  <c r="P25" i="62" s="1"/>
  <c r="K23" i="33"/>
  <c r="P24" i="70" s="1"/>
  <c r="E63" i="48"/>
  <c r="R33" i="33"/>
  <c r="Q26" i="71" s="1"/>
  <c r="Z26" i="71" s="1"/>
  <c r="D74" i="48"/>
  <c r="D20" i="48"/>
  <c r="W38" i="33"/>
  <c r="P27" i="65" s="1"/>
  <c r="Q13" i="33"/>
  <c r="P22" i="71" s="1"/>
  <c r="Z28" i="71" s="1"/>
  <c r="H33" i="33"/>
  <c r="P26" i="63" s="1"/>
  <c r="H28" i="33"/>
  <c r="P25" i="63" s="1"/>
  <c r="Q8" i="69"/>
  <c r="D77" i="48"/>
  <c r="D72" i="48"/>
  <c r="D16" i="69"/>
  <c r="D89" i="48"/>
  <c r="D15" i="66"/>
  <c r="E67" i="48"/>
  <c r="D16" i="65"/>
  <c r="C38" i="33"/>
  <c r="Q27" i="61" s="1"/>
  <c r="D79" i="48"/>
  <c r="D5" i="48"/>
  <c r="E83" i="48"/>
  <c r="D48" i="48"/>
  <c r="E75" i="48"/>
  <c r="D13" i="48"/>
  <c r="D4" i="48"/>
  <c r="AC28" i="33"/>
  <c r="P25" i="66" s="1"/>
  <c r="Z25" i="66" s="1"/>
  <c r="E21" i="48"/>
  <c r="E13" i="48"/>
  <c r="Q6" i="71"/>
  <c r="E42" i="48"/>
  <c r="E70" i="48"/>
  <c r="Q5" i="62"/>
  <c r="D15" i="69"/>
  <c r="Q6" i="70"/>
  <c r="E36" i="48"/>
  <c r="E11" i="48"/>
  <c r="D82" i="48"/>
  <c r="AJ38" i="33"/>
  <c r="Q27" i="67" s="1"/>
  <c r="D16" i="70"/>
  <c r="Q5" i="61"/>
  <c r="J6" i="22"/>
  <c r="B13" i="3"/>
  <c r="D6" i="62"/>
  <c r="J29" i="22"/>
  <c r="I55" i="22"/>
  <c r="D25" i="48"/>
  <c r="D14" i="66"/>
  <c r="E31" i="48"/>
  <c r="Q6" i="65"/>
  <c r="E25" i="48"/>
  <c r="Q8" i="62"/>
  <c r="D91" i="48"/>
  <c r="E43" i="48"/>
  <c r="E58" i="48"/>
  <c r="E89" i="48"/>
  <c r="D14" i="70"/>
  <c r="D15" i="61"/>
  <c r="Q6" i="68"/>
  <c r="Q7" i="72"/>
  <c r="D16" i="72"/>
  <c r="D37" i="48"/>
  <c r="E79" i="48"/>
  <c r="E20" i="48"/>
  <c r="E76" i="48"/>
  <c r="D53" i="48"/>
  <c r="D83" i="48"/>
  <c r="E33" i="48"/>
  <c r="H49" i="33"/>
  <c r="D67" i="48"/>
  <c r="E33" i="33"/>
  <c r="P26" i="62" s="1"/>
  <c r="D17" i="67"/>
  <c r="Q8" i="67"/>
  <c r="N13" i="33"/>
  <c r="P22" i="72" s="1"/>
  <c r="D17" i="48"/>
  <c r="T23" i="33"/>
  <c r="P24" i="64" s="1"/>
  <c r="Z30" i="64" s="1"/>
  <c r="AC13" i="33"/>
  <c r="P22" i="66" s="1"/>
  <c r="Q5" i="72"/>
  <c r="D14" i="72"/>
  <c r="O38" i="33"/>
  <c r="Q27" i="72" s="1"/>
  <c r="Z33" i="72" s="1"/>
  <c r="E72" i="48"/>
  <c r="Z18" i="33"/>
  <c r="P23" i="69" s="1"/>
  <c r="H5" i="69" s="1"/>
  <c r="D26" i="48"/>
  <c r="W18" i="33"/>
  <c r="P23" i="65" s="1"/>
  <c r="D22" i="48"/>
  <c r="N23" i="33"/>
  <c r="P24" i="72" s="1"/>
  <c r="D43" i="48"/>
  <c r="Q18" i="33"/>
  <c r="P23" i="71" s="1"/>
  <c r="D16" i="48"/>
  <c r="AG18" i="33"/>
  <c r="Q23" i="68" s="1"/>
  <c r="H7" i="68" s="1"/>
  <c r="E32" i="48"/>
  <c r="D17" i="68"/>
  <c r="Q8" i="68"/>
  <c r="Q7" i="67"/>
  <c r="D16" i="67"/>
  <c r="X18" i="33"/>
  <c r="Q23" i="65" s="1"/>
  <c r="E22" i="48"/>
  <c r="W28" i="33"/>
  <c r="P25" i="65" s="1"/>
  <c r="D47" i="48"/>
  <c r="AJ23" i="33"/>
  <c r="Q24" i="67" s="1"/>
  <c r="T24" i="67" s="1"/>
  <c r="E57" i="48"/>
  <c r="H54" i="33"/>
  <c r="I54" i="33"/>
  <c r="H47" i="33"/>
  <c r="Z26" i="64"/>
  <c r="T26" i="64"/>
  <c r="Z30" i="66"/>
  <c r="T24" i="66"/>
  <c r="Z24" i="66"/>
  <c r="Z28" i="70"/>
  <c r="T22" i="70"/>
  <c r="Z22" i="70"/>
  <c r="Z29" i="70"/>
  <c r="Z23" i="70"/>
  <c r="T23" i="70"/>
  <c r="Z32" i="65"/>
  <c r="Z26" i="65"/>
  <c r="T26" i="65"/>
  <c r="Z25" i="61"/>
  <c r="T25" i="61"/>
  <c r="Z31" i="61"/>
  <c r="Z28" i="65"/>
  <c r="Z22" i="65"/>
  <c r="T22" i="65"/>
  <c r="Z29" i="64"/>
  <c r="Z23" i="64"/>
  <c r="T23" i="64"/>
  <c r="Z30" i="65"/>
  <c r="Z24" i="65"/>
  <c r="T24" i="65"/>
  <c r="Z32" i="66"/>
  <c r="Z26" i="66"/>
  <c r="T26" i="66"/>
  <c r="Z29" i="62"/>
  <c r="Z23" i="62"/>
  <c r="T23" i="62"/>
  <c r="Z30" i="69"/>
  <c r="Z24" i="69"/>
  <c r="T24" i="69"/>
  <c r="Z31" i="64"/>
  <c r="Z25" i="64"/>
  <c r="T25" i="64"/>
  <c r="Z27" i="64"/>
  <c r="Z33" i="64"/>
  <c r="T27" i="64"/>
  <c r="Z31" i="71"/>
  <c r="Z25" i="71"/>
  <c r="T25" i="71"/>
  <c r="W49" i="33"/>
  <c r="W47" i="33"/>
  <c r="W48" i="33"/>
  <c r="X54" i="33"/>
  <c r="W54" i="33"/>
  <c r="Z32" i="67"/>
  <c r="Z26" i="67"/>
  <c r="T26" i="67"/>
  <c r="T27" i="70"/>
  <c r="Z27" i="70"/>
  <c r="N47" i="33"/>
  <c r="N49" i="33"/>
  <c r="N54" i="33"/>
  <c r="O54" i="33"/>
  <c r="N48" i="33"/>
  <c r="T49" i="33"/>
  <c r="T54" i="33"/>
  <c r="U54" i="33"/>
  <c r="T47" i="33"/>
  <c r="T48" i="33"/>
  <c r="T22" i="61"/>
  <c r="Z28" i="61"/>
  <c r="Z22" i="61"/>
  <c r="AO49" i="33"/>
  <c r="AP54" i="33"/>
  <c r="AO48" i="33"/>
  <c r="AO47" i="33"/>
  <c r="AO54" i="33"/>
  <c r="Z31" i="67"/>
  <c r="T25" i="67"/>
  <c r="Z25" i="67"/>
  <c r="Z30" i="71"/>
  <c r="Z24" i="71"/>
  <c r="T24" i="71"/>
  <c r="R54" i="33"/>
  <c r="Q49" i="33"/>
  <c r="Q54" i="33"/>
  <c r="Q48" i="33"/>
  <c r="Q47" i="33"/>
  <c r="AS54" i="33"/>
  <c r="AR54" i="33"/>
  <c r="AR48" i="33"/>
  <c r="AR47" i="33"/>
  <c r="AR49" i="33"/>
  <c r="Z28" i="68"/>
  <c r="T22" i="68"/>
  <c r="Z22" i="68"/>
  <c r="AM54" i="33"/>
  <c r="AL47" i="33"/>
  <c r="AL48" i="33"/>
  <c r="AL49" i="33"/>
  <c r="AL54" i="33"/>
  <c r="Z28" i="67"/>
  <c r="T22" i="67"/>
  <c r="Z22" i="67"/>
  <c r="Z28" i="69"/>
  <c r="T22" i="69"/>
  <c r="Z22" i="69"/>
  <c r="Z26" i="69"/>
  <c r="Z32" i="69"/>
  <c r="T26" i="69"/>
  <c r="Z31" i="69"/>
  <c r="Z25" i="69"/>
  <c r="T25" i="69"/>
  <c r="AU47" i="33"/>
  <c r="AU54" i="33"/>
  <c r="AV54" i="33"/>
  <c r="AU49" i="33"/>
  <c r="AU48" i="33"/>
  <c r="T27" i="69"/>
  <c r="Z27" i="69"/>
  <c r="Z33" i="69"/>
  <c r="Z33" i="70"/>
  <c r="Z29" i="67"/>
  <c r="T23" i="67"/>
  <c r="Z23" i="67"/>
  <c r="Z29" i="63"/>
  <c r="T23" i="63"/>
  <c r="Z23" i="63"/>
  <c r="T23" i="72"/>
  <c r="Z23" i="72"/>
  <c r="Z29" i="72"/>
  <c r="T26" i="68"/>
  <c r="Z32" i="68"/>
  <c r="Z26" i="68"/>
  <c r="T26" i="72"/>
  <c r="Z32" i="72"/>
  <c r="Z26" i="72"/>
  <c r="Z28" i="63"/>
  <c r="Z22" i="63"/>
  <c r="T22" i="63"/>
  <c r="Z33" i="68"/>
  <c r="Z27" i="68"/>
  <c r="T27" i="68"/>
  <c r="Z25" i="72"/>
  <c r="T25" i="72"/>
  <c r="Z30" i="68"/>
  <c r="T24" i="68"/>
  <c r="Z24" i="68"/>
  <c r="Z31" i="72"/>
  <c r="Z31" i="68"/>
  <c r="T25" i="68"/>
  <c r="Z25" i="68"/>
  <c r="T27" i="66"/>
  <c r="Z33" i="66"/>
  <c r="Z27" i="66"/>
  <c r="T27" i="63"/>
  <c r="Z33" i="63"/>
  <c r="Z27" i="63"/>
  <c r="Z29" i="66"/>
  <c r="Z23" i="66"/>
  <c r="T23" i="66"/>
  <c r="Z32" i="70"/>
  <c r="Z26" i="70"/>
  <c r="T26" i="70"/>
  <c r="Z27" i="71" l="1"/>
  <c r="T24" i="61"/>
  <c r="Z30" i="61"/>
  <c r="Z26" i="61"/>
  <c r="Z32" i="61"/>
  <c r="T24" i="63"/>
  <c r="U24" i="63" s="1"/>
  <c r="Z24" i="63"/>
  <c r="Z28" i="72"/>
  <c r="P5" i="65"/>
  <c r="T26" i="63"/>
  <c r="AA32" i="63" s="1"/>
  <c r="C18" i="33"/>
  <c r="Q23" i="61" s="1"/>
  <c r="T22" i="64"/>
  <c r="AA28" i="64" s="1"/>
  <c r="D70" i="48"/>
  <c r="Z25" i="70"/>
  <c r="Z22" i="64"/>
  <c r="Z28" i="64"/>
  <c r="T25" i="70"/>
  <c r="V25" i="70" s="1"/>
  <c r="Z31" i="70"/>
  <c r="D36" i="48"/>
  <c r="Z32" i="71"/>
  <c r="O6" i="70"/>
  <c r="N6" i="70"/>
  <c r="O5" i="70"/>
  <c r="Z33" i="71"/>
  <c r="T25" i="62"/>
  <c r="V25" i="62" s="1"/>
  <c r="Z25" i="62"/>
  <c r="Z31" i="62"/>
  <c r="T27" i="65"/>
  <c r="U27" i="65" s="1"/>
  <c r="P5" i="68"/>
  <c r="T22" i="71"/>
  <c r="Z22" i="71"/>
  <c r="T27" i="72"/>
  <c r="AA33" i="72" s="1"/>
  <c r="Z27" i="72"/>
  <c r="H7" i="63"/>
  <c r="M8" i="63"/>
  <c r="H5" i="70"/>
  <c r="M5" i="70"/>
  <c r="O7" i="70"/>
  <c r="T24" i="70"/>
  <c r="V24" i="70" s="1"/>
  <c r="Z33" i="65"/>
  <c r="N8" i="70"/>
  <c r="H7" i="70"/>
  <c r="Z24" i="70"/>
  <c r="Z27" i="65"/>
  <c r="N7" i="70"/>
  <c r="O8" i="70"/>
  <c r="H6" i="70"/>
  <c r="I5" i="70"/>
  <c r="I7" i="70"/>
  <c r="M7" i="70"/>
  <c r="N5" i="70"/>
  <c r="I6" i="70"/>
  <c r="M6" i="70"/>
  <c r="I8" i="70"/>
  <c r="Z30" i="70"/>
  <c r="T26" i="71"/>
  <c r="AA32" i="71" s="1"/>
  <c r="M8" i="70"/>
  <c r="H8" i="70"/>
  <c r="M5" i="71"/>
  <c r="Z32" i="63"/>
  <c r="Z30" i="67"/>
  <c r="I5" i="67"/>
  <c r="O6" i="67"/>
  <c r="Z33" i="67"/>
  <c r="O5" i="67"/>
  <c r="Z26" i="63"/>
  <c r="Z24" i="67"/>
  <c r="H6" i="63"/>
  <c r="I6" i="63"/>
  <c r="I7" i="63"/>
  <c r="O5" i="63"/>
  <c r="N7" i="63"/>
  <c r="H8" i="63"/>
  <c r="O8" i="63"/>
  <c r="O7" i="63"/>
  <c r="N6" i="63"/>
  <c r="I8" i="63"/>
  <c r="T25" i="63"/>
  <c r="U25" i="63" s="1"/>
  <c r="I5" i="63"/>
  <c r="M7" i="63"/>
  <c r="N8" i="63"/>
  <c r="Z25" i="63"/>
  <c r="M6" i="63"/>
  <c r="Z31" i="63"/>
  <c r="H5" i="63"/>
  <c r="O6" i="63"/>
  <c r="M5" i="63"/>
  <c r="N5" i="63"/>
  <c r="Z33" i="61"/>
  <c r="T27" i="61"/>
  <c r="U27" i="61" s="1"/>
  <c r="Z27" i="61"/>
  <c r="T25" i="66"/>
  <c r="AA25" i="66" s="1"/>
  <c r="Z31" i="66"/>
  <c r="I6" i="66"/>
  <c r="Z22" i="72"/>
  <c r="T22" i="72"/>
  <c r="AA28" i="72" s="1"/>
  <c r="N8" i="72"/>
  <c r="O5" i="72"/>
  <c r="P8" i="62"/>
  <c r="P6" i="62"/>
  <c r="P8" i="65"/>
  <c r="P5" i="67"/>
  <c r="Z24" i="72"/>
  <c r="P6" i="64"/>
  <c r="P5" i="72"/>
  <c r="P6" i="70"/>
  <c r="P7" i="67"/>
  <c r="P8" i="61"/>
  <c r="P5" i="66"/>
  <c r="P5" i="62"/>
  <c r="H5" i="72"/>
  <c r="P7" i="65"/>
  <c r="P6" i="66"/>
  <c r="P8" i="66"/>
  <c r="P8" i="72"/>
  <c r="P7" i="62"/>
  <c r="P6" i="65"/>
  <c r="P7" i="68"/>
  <c r="P6" i="63"/>
  <c r="P7" i="72"/>
  <c r="P5" i="64"/>
  <c r="P8" i="63"/>
  <c r="P7" i="70"/>
  <c r="P8" i="70"/>
  <c r="P5" i="63"/>
  <c r="P7" i="66"/>
  <c r="P8" i="67"/>
  <c r="P8" i="68"/>
  <c r="P6" i="67"/>
  <c r="P7" i="69"/>
  <c r="P7" i="71"/>
  <c r="P7" i="61"/>
  <c r="P8" i="69"/>
  <c r="P5" i="61"/>
  <c r="P8" i="64"/>
  <c r="P5" i="71"/>
  <c r="P7" i="63"/>
  <c r="P6" i="71"/>
  <c r="P6" i="72"/>
  <c r="P6" i="61"/>
  <c r="P6" i="69"/>
  <c r="P8" i="71"/>
  <c r="P7" i="64"/>
  <c r="P6" i="68"/>
  <c r="P5" i="70"/>
  <c r="P5" i="69"/>
  <c r="M5" i="66"/>
  <c r="H6" i="67"/>
  <c r="M7" i="67"/>
  <c r="M5" i="67"/>
  <c r="T23" i="68"/>
  <c r="AA23" i="68" s="1"/>
  <c r="I7" i="67"/>
  <c r="O7" i="67"/>
  <c r="N6" i="67"/>
  <c r="I6" i="67"/>
  <c r="N8" i="67"/>
  <c r="H8" i="67"/>
  <c r="M6" i="67"/>
  <c r="N5" i="68"/>
  <c r="I8" i="67"/>
  <c r="O8" i="67"/>
  <c r="Z27" i="67"/>
  <c r="H7" i="67"/>
  <c r="N7" i="67"/>
  <c r="T27" i="67"/>
  <c r="AA27" i="67" s="1"/>
  <c r="O8" i="68"/>
  <c r="O7" i="68"/>
  <c r="H5" i="67"/>
  <c r="M8" i="67"/>
  <c r="N5" i="67"/>
  <c r="F13" i="33"/>
  <c r="Q22" i="62" s="1"/>
  <c r="E8" i="48"/>
  <c r="E38" i="33"/>
  <c r="P27" i="62" s="1"/>
  <c r="D68" i="48"/>
  <c r="F23" i="33"/>
  <c r="Q24" i="62" s="1"/>
  <c r="E37" i="48"/>
  <c r="Q6" i="62"/>
  <c r="D15" i="62"/>
  <c r="O5" i="66"/>
  <c r="O7" i="69"/>
  <c r="T23" i="71"/>
  <c r="AA29" i="71" s="1"/>
  <c r="N5" i="65"/>
  <c r="H7" i="72"/>
  <c r="M7" i="69"/>
  <c r="I5" i="71"/>
  <c r="O7" i="72"/>
  <c r="N6" i="72"/>
  <c r="N5" i="72"/>
  <c r="N7" i="72"/>
  <c r="Z30" i="72"/>
  <c r="T25" i="65"/>
  <c r="U25" i="65" s="1"/>
  <c r="I5" i="72"/>
  <c r="I8" i="72"/>
  <c r="M8" i="72"/>
  <c r="M7" i="72"/>
  <c r="N6" i="65"/>
  <c r="Z25" i="65"/>
  <c r="O5" i="65"/>
  <c r="I7" i="72"/>
  <c r="M6" i="72"/>
  <c r="Z31" i="65"/>
  <c r="M6" i="65"/>
  <c r="O8" i="72"/>
  <c r="O6" i="72"/>
  <c r="M5" i="72"/>
  <c r="T24" i="72"/>
  <c r="AA24" i="72" s="1"/>
  <c r="O7" i="65"/>
  <c r="H8" i="72"/>
  <c r="H6" i="72"/>
  <c r="I6" i="72"/>
  <c r="N8" i="64"/>
  <c r="I8" i="64"/>
  <c r="H5" i="66"/>
  <c r="M8" i="66"/>
  <c r="I7" i="69"/>
  <c r="I6" i="71"/>
  <c r="O5" i="71"/>
  <c r="N8" i="66"/>
  <c r="H6" i="66"/>
  <c r="M7" i="66"/>
  <c r="I8" i="69"/>
  <c r="H6" i="69"/>
  <c r="H7" i="71"/>
  <c r="N5" i="71"/>
  <c r="I5" i="69"/>
  <c r="J5" i="69" s="1"/>
  <c r="N5" i="69"/>
  <c r="N7" i="66"/>
  <c r="O7" i="66"/>
  <c r="M6" i="66"/>
  <c r="T23" i="69"/>
  <c r="AA29" i="69" s="1"/>
  <c r="N6" i="69"/>
  <c r="H7" i="69"/>
  <c r="H6" i="71"/>
  <c r="O6" i="71"/>
  <c r="O5" i="69"/>
  <c r="Z23" i="69"/>
  <c r="O8" i="69"/>
  <c r="H5" i="71"/>
  <c r="N8" i="71"/>
  <c r="O8" i="71"/>
  <c r="M5" i="69"/>
  <c r="I5" i="66"/>
  <c r="N7" i="69"/>
  <c r="O6" i="66"/>
  <c r="H7" i="66"/>
  <c r="Z29" i="69"/>
  <c r="N8" i="69"/>
  <c r="I6" i="69"/>
  <c r="H8" i="71"/>
  <c r="H8" i="69"/>
  <c r="O7" i="71"/>
  <c r="M8" i="71"/>
  <c r="Z23" i="71"/>
  <c r="N6" i="66"/>
  <c r="N5" i="66"/>
  <c r="H8" i="66"/>
  <c r="I7" i="66"/>
  <c r="I8" i="71"/>
  <c r="N6" i="71"/>
  <c r="M7" i="71"/>
  <c r="Z29" i="71"/>
  <c r="O8" i="66"/>
  <c r="I8" i="66"/>
  <c r="O6" i="69"/>
  <c r="M6" i="69"/>
  <c r="I7" i="71"/>
  <c r="N7" i="71"/>
  <c r="M6" i="71"/>
  <c r="M8" i="69"/>
  <c r="H5" i="68"/>
  <c r="H6" i="68"/>
  <c r="N7" i="65"/>
  <c r="H8" i="65"/>
  <c r="N7" i="68"/>
  <c r="I8" i="68"/>
  <c r="H8" i="68"/>
  <c r="Z23" i="68"/>
  <c r="O8" i="65"/>
  <c r="H6" i="65"/>
  <c r="O6" i="68"/>
  <c r="T26" i="62"/>
  <c r="AA26" i="62" s="1"/>
  <c r="H7" i="65"/>
  <c r="I7" i="65"/>
  <c r="Z32" i="62"/>
  <c r="H5" i="65"/>
  <c r="M7" i="68"/>
  <c r="I5" i="68"/>
  <c r="M5" i="68"/>
  <c r="N8" i="65"/>
  <c r="I6" i="65"/>
  <c r="M6" i="68"/>
  <c r="Z26" i="62"/>
  <c r="N6" i="68"/>
  <c r="M5" i="65"/>
  <c r="I7" i="68"/>
  <c r="J7" i="68" s="1"/>
  <c r="M8" i="68"/>
  <c r="I8" i="65"/>
  <c r="M8" i="65"/>
  <c r="O5" i="68"/>
  <c r="Z29" i="68"/>
  <c r="O6" i="65"/>
  <c r="M7" i="65"/>
  <c r="N8" i="68"/>
  <c r="I5" i="65"/>
  <c r="I6" i="68"/>
  <c r="N6" i="64"/>
  <c r="H7" i="64"/>
  <c r="M7" i="64"/>
  <c r="M5" i="64"/>
  <c r="I6" i="64"/>
  <c r="O6" i="64"/>
  <c r="H5" i="64"/>
  <c r="O7" i="64"/>
  <c r="O8" i="64"/>
  <c r="I5" i="64"/>
  <c r="N7" i="64"/>
  <c r="H8" i="64"/>
  <c r="T24" i="64"/>
  <c r="AA30" i="64" s="1"/>
  <c r="O5" i="64"/>
  <c r="I7" i="64"/>
  <c r="M6" i="64"/>
  <c r="Z24" i="64"/>
  <c r="N5" i="64"/>
  <c r="H6" i="64"/>
  <c r="M8" i="64"/>
  <c r="Z29" i="65"/>
  <c r="Z23" i="65"/>
  <c r="T23" i="65"/>
  <c r="T22" i="66"/>
  <c r="Z22" i="66"/>
  <c r="Z28" i="66"/>
  <c r="V26" i="64"/>
  <c r="U26" i="64"/>
  <c r="AA32" i="64"/>
  <c r="AA26" i="64"/>
  <c r="V22" i="70"/>
  <c r="U22" i="70"/>
  <c r="AA22" i="70"/>
  <c r="AA28" i="70"/>
  <c r="AA24" i="66"/>
  <c r="V24" i="66"/>
  <c r="U24" i="66"/>
  <c r="AA30" i="66"/>
  <c r="V26" i="61"/>
  <c r="AA32" i="61"/>
  <c r="AA26" i="61"/>
  <c r="U26" i="61"/>
  <c r="V26" i="65"/>
  <c r="U26" i="65"/>
  <c r="AA32" i="65"/>
  <c r="AA26" i="65"/>
  <c r="AA29" i="70"/>
  <c r="V23" i="70"/>
  <c r="U23" i="70"/>
  <c r="AA23" i="70"/>
  <c r="V22" i="71"/>
  <c r="AA22" i="71"/>
  <c r="AA28" i="71"/>
  <c r="U22" i="71"/>
  <c r="AA30" i="65"/>
  <c r="V24" i="65"/>
  <c r="U24" i="65"/>
  <c r="AA24" i="65"/>
  <c r="V23" i="64"/>
  <c r="U23" i="64"/>
  <c r="AA23" i="64"/>
  <c r="AA29" i="64"/>
  <c r="AA31" i="61"/>
  <c r="U25" i="61"/>
  <c r="AA25" i="61"/>
  <c r="V25" i="61"/>
  <c r="V22" i="65"/>
  <c r="U22" i="65"/>
  <c r="AA28" i="65"/>
  <c r="AA22" i="65"/>
  <c r="V27" i="71"/>
  <c r="U27" i="71"/>
  <c r="AA33" i="71"/>
  <c r="AA27" i="71"/>
  <c r="AA23" i="62"/>
  <c r="U23" i="62"/>
  <c r="V23" i="62"/>
  <c r="AA29" i="62"/>
  <c r="U26" i="66"/>
  <c r="AA32" i="66"/>
  <c r="AA26" i="66"/>
  <c r="V26" i="66"/>
  <c r="V27" i="64"/>
  <c r="AA33" i="64"/>
  <c r="AA27" i="64"/>
  <c r="U27" i="64"/>
  <c r="U25" i="64"/>
  <c r="AA31" i="64"/>
  <c r="V25" i="64"/>
  <c r="AA25" i="64"/>
  <c r="AA24" i="69"/>
  <c r="V24" i="69"/>
  <c r="U24" i="69"/>
  <c r="AA30" i="69"/>
  <c r="V25" i="71"/>
  <c r="U25" i="71"/>
  <c r="AA25" i="71"/>
  <c r="AA31" i="71"/>
  <c r="U27" i="69"/>
  <c r="V27" i="69"/>
  <c r="AA27" i="69"/>
  <c r="AA33" i="69"/>
  <c r="V22" i="68"/>
  <c r="AA28" i="68"/>
  <c r="U22" i="68"/>
  <c r="AA22" i="68"/>
  <c r="AA29" i="67"/>
  <c r="U23" i="67"/>
  <c r="V23" i="67"/>
  <c r="AA23" i="67"/>
  <c r="AA30" i="67"/>
  <c r="AA24" i="67"/>
  <c r="U24" i="67"/>
  <c r="V24" i="67"/>
  <c r="U24" i="71"/>
  <c r="V24" i="71"/>
  <c r="AA24" i="71"/>
  <c r="AA30" i="71"/>
  <c r="V27" i="70"/>
  <c r="U27" i="70"/>
  <c r="AA33" i="70"/>
  <c r="AA27" i="70"/>
  <c r="AA26" i="67"/>
  <c r="V26" i="67"/>
  <c r="U26" i="67"/>
  <c r="AA32" i="67"/>
  <c r="V24" i="61"/>
  <c r="U24" i="61"/>
  <c r="AA30" i="61"/>
  <c r="AA24" i="61"/>
  <c r="V25" i="69"/>
  <c r="AA25" i="69"/>
  <c r="U25" i="69"/>
  <c r="AA31" i="69"/>
  <c r="V26" i="69"/>
  <c r="U26" i="69"/>
  <c r="AA32" i="69"/>
  <c r="AA26" i="69"/>
  <c r="AA28" i="61"/>
  <c r="U22" i="61"/>
  <c r="AA22" i="61"/>
  <c r="V22" i="61"/>
  <c r="AA22" i="69"/>
  <c r="V22" i="69"/>
  <c r="U22" i="69"/>
  <c r="AA28" i="69"/>
  <c r="V22" i="67"/>
  <c r="U22" i="67"/>
  <c r="AA22" i="67"/>
  <c r="AA28" i="67"/>
  <c r="AA31" i="67"/>
  <c r="U25" i="67"/>
  <c r="V25" i="67"/>
  <c r="AA25" i="67"/>
  <c r="V26" i="70"/>
  <c r="U26" i="70"/>
  <c r="AA32" i="70"/>
  <c r="AA26" i="70"/>
  <c r="AA23" i="66"/>
  <c r="V23" i="66"/>
  <c r="U23" i="66"/>
  <c r="AA29" i="66"/>
  <c r="V24" i="63"/>
  <c r="AA25" i="72"/>
  <c r="U25" i="72"/>
  <c r="V25" i="72"/>
  <c r="AA31" i="72"/>
  <c r="V22" i="63"/>
  <c r="U22" i="63"/>
  <c r="AA22" i="63"/>
  <c r="AA28" i="63"/>
  <c r="V26" i="72"/>
  <c r="U26" i="72"/>
  <c r="AA32" i="72"/>
  <c r="AA26" i="72"/>
  <c r="V23" i="72"/>
  <c r="AA23" i="72"/>
  <c r="U23" i="72"/>
  <c r="AA29" i="72"/>
  <c r="AA24" i="68"/>
  <c r="V24" i="68"/>
  <c r="U24" i="68"/>
  <c r="AA30" i="68"/>
  <c r="AA25" i="68"/>
  <c r="V25" i="68"/>
  <c r="U25" i="68"/>
  <c r="AA31" i="68"/>
  <c r="V26" i="68"/>
  <c r="U26" i="68"/>
  <c r="AA32" i="68"/>
  <c r="AA26" i="68"/>
  <c r="V23" i="63"/>
  <c r="U23" i="63"/>
  <c r="AA23" i="63"/>
  <c r="AA29" i="63"/>
  <c r="U27" i="68"/>
  <c r="V27" i="68"/>
  <c r="AA33" i="68"/>
  <c r="AA27" i="68"/>
  <c r="U27" i="63"/>
  <c r="V27" i="63"/>
  <c r="AA33" i="63"/>
  <c r="AA27" i="63"/>
  <c r="U27" i="66"/>
  <c r="V27" i="66"/>
  <c r="AA33" i="66"/>
  <c r="AA27" i="66"/>
  <c r="J7" i="63" l="1"/>
  <c r="N5" i="61"/>
  <c r="AA27" i="65"/>
  <c r="Z23" i="61"/>
  <c r="H8" i="61"/>
  <c r="I6" i="61"/>
  <c r="V26" i="63"/>
  <c r="AA33" i="65"/>
  <c r="M5" i="61"/>
  <c r="Z29" i="61"/>
  <c r="V27" i="65"/>
  <c r="H6" i="61"/>
  <c r="O6" i="61"/>
  <c r="M8" i="61"/>
  <c r="AA25" i="62"/>
  <c r="N7" i="61"/>
  <c r="M6" i="61"/>
  <c r="AA31" i="62"/>
  <c r="O5" i="61"/>
  <c r="N6" i="61"/>
  <c r="H5" i="61"/>
  <c r="U25" i="62"/>
  <c r="I7" i="61"/>
  <c r="O7" i="61"/>
  <c r="H7" i="61"/>
  <c r="M7" i="61"/>
  <c r="N8" i="61"/>
  <c r="I5" i="61"/>
  <c r="O8" i="61"/>
  <c r="I8" i="61"/>
  <c r="AA31" i="70"/>
  <c r="V22" i="64"/>
  <c r="U26" i="63"/>
  <c r="AA22" i="64"/>
  <c r="U22" i="64"/>
  <c r="U25" i="70"/>
  <c r="AA26" i="63"/>
  <c r="AA25" i="70"/>
  <c r="AA30" i="63"/>
  <c r="AA24" i="63"/>
  <c r="K5" i="70"/>
  <c r="E22" i="26" s="1"/>
  <c r="T23" i="61"/>
  <c r="V23" i="61" s="1"/>
  <c r="K6" i="70"/>
  <c r="E23" i="26" s="1"/>
  <c r="L5" i="70"/>
  <c r="AV5" i="70" s="1"/>
  <c r="K7" i="70"/>
  <c r="E24" i="26" s="1"/>
  <c r="AA30" i="70"/>
  <c r="AA24" i="70"/>
  <c r="U24" i="70"/>
  <c r="K5" i="71"/>
  <c r="J8" i="63"/>
  <c r="U27" i="72"/>
  <c r="L6" i="70"/>
  <c r="AV6" i="70" s="1"/>
  <c r="J6" i="63"/>
  <c r="K7" i="63"/>
  <c r="E19" i="26" s="1"/>
  <c r="J6" i="66"/>
  <c r="K8" i="70"/>
  <c r="E25" i="26" s="1"/>
  <c r="V27" i="72"/>
  <c r="J6" i="70"/>
  <c r="V25" i="63"/>
  <c r="J8" i="70"/>
  <c r="L7" i="70"/>
  <c r="AV7" i="70" s="1"/>
  <c r="AA27" i="72"/>
  <c r="K8" i="63"/>
  <c r="U26" i="71"/>
  <c r="V26" i="71"/>
  <c r="AA26" i="71"/>
  <c r="K5" i="63"/>
  <c r="E17" i="26" s="1"/>
  <c r="J5" i="70"/>
  <c r="L8" i="70"/>
  <c r="AV8" i="70" s="1"/>
  <c r="J5" i="67"/>
  <c r="J5" i="63"/>
  <c r="J7" i="70"/>
  <c r="K6" i="63"/>
  <c r="E18" i="26" s="1"/>
  <c r="L7" i="63"/>
  <c r="AV7" i="63" s="1"/>
  <c r="L5" i="63"/>
  <c r="AV5" i="63" s="1"/>
  <c r="AA31" i="66"/>
  <c r="J6" i="72"/>
  <c r="U25" i="66"/>
  <c r="V25" i="66"/>
  <c r="J8" i="67"/>
  <c r="L6" i="63"/>
  <c r="AV6" i="63" s="1"/>
  <c r="K6" i="68"/>
  <c r="E58" i="26" s="1"/>
  <c r="AA25" i="63"/>
  <c r="AA31" i="63"/>
  <c r="AA22" i="72"/>
  <c r="U22" i="72"/>
  <c r="V22" i="72"/>
  <c r="J6" i="65"/>
  <c r="L8" i="63"/>
  <c r="AV8" i="63" s="1"/>
  <c r="AA33" i="61"/>
  <c r="AA27" i="61"/>
  <c r="V27" i="61"/>
  <c r="AA33" i="67"/>
  <c r="AA29" i="68"/>
  <c r="U23" i="68"/>
  <c r="V23" i="68"/>
  <c r="V27" i="67"/>
  <c r="U27" i="67"/>
  <c r="U24" i="64"/>
  <c r="K6" i="66"/>
  <c r="E53" i="26" s="1"/>
  <c r="L6" i="67"/>
  <c r="AV6" i="67" s="1"/>
  <c r="L5" i="72"/>
  <c r="AV5" i="72" s="1"/>
  <c r="K6" i="67"/>
  <c r="E63" i="26" s="1"/>
  <c r="K7" i="67"/>
  <c r="E64" i="26" s="1"/>
  <c r="J8" i="68"/>
  <c r="J5" i="72"/>
  <c r="K5" i="67"/>
  <c r="E62" i="26" s="1"/>
  <c r="J6" i="67"/>
  <c r="L8" i="69"/>
  <c r="AV8" i="69" s="1"/>
  <c r="K5" i="66"/>
  <c r="E52" i="26" s="1"/>
  <c r="L8" i="67"/>
  <c r="AV8" i="67" s="1"/>
  <c r="V24" i="72"/>
  <c r="K8" i="69"/>
  <c r="E50" i="26" s="1"/>
  <c r="K8" i="72"/>
  <c r="E30" i="26" s="1"/>
  <c r="J5" i="66"/>
  <c r="J8" i="69"/>
  <c r="K7" i="69"/>
  <c r="E49" i="26" s="1"/>
  <c r="J7" i="69"/>
  <c r="L5" i="66"/>
  <c r="AV5" i="66" s="1"/>
  <c r="O7" i="62"/>
  <c r="K8" i="67"/>
  <c r="I7" i="62"/>
  <c r="N8" i="62"/>
  <c r="J8" i="72"/>
  <c r="J6" i="68"/>
  <c r="L5" i="67"/>
  <c r="AV5" i="67" s="1"/>
  <c r="L6" i="72"/>
  <c r="AV6" i="72" s="1"/>
  <c r="J7" i="67"/>
  <c r="K6" i="72"/>
  <c r="K6" i="69"/>
  <c r="E48" i="26" s="1"/>
  <c r="J8" i="64"/>
  <c r="O6" i="62"/>
  <c r="L7" i="67"/>
  <c r="AV7" i="67" s="1"/>
  <c r="K8" i="65"/>
  <c r="E45" i="26" s="1"/>
  <c r="L8" i="72"/>
  <c r="AV8" i="72" s="1"/>
  <c r="AA23" i="71"/>
  <c r="V23" i="71"/>
  <c r="U23" i="71"/>
  <c r="K8" i="64"/>
  <c r="E40" i="26" s="1"/>
  <c r="J5" i="65"/>
  <c r="K5" i="72"/>
  <c r="E27" i="26" s="1"/>
  <c r="I5" i="62"/>
  <c r="O8" i="62"/>
  <c r="N5" i="62"/>
  <c r="N6" i="62"/>
  <c r="I6" i="62"/>
  <c r="K6" i="71"/>
  <c r="E33" i="26" s="1"/>
  <c r="L7" i="71"/>
  <c r="AV7" i="71" s="1"/>
  <c r="K6" i="65"/>
  <c r="E43" i="26" s="1"/>
  <c r="L7" i="72"/>
  <c r="AV7" i="72" s="1"/>
  <c r="J7" i="72"/>
  <c r="J8" i="65"/>
  <c r="J7" i="71"/>
  <c r="H6" i="62"/>
  <c r="J6" i="62" s="1"/>
  <c r="H7" i="62"/>
  <c r="N7" i="62"/>
  <c r="M5" i="62"/>
  <c r="L6" i="68"/>
  <c r="AV6" i="68" s="1"/>
  <c r="O5" i="62"/>
  <c r="L8" i="65"/>
  <c r="AV8" i="65" s="1"/>
  <c r="H5" i="62"/>
  <c r="M7" i="62"/>
  <c r="K5" i="69"/>
  <c r="E47" i="26" s="1"/>
  <c r="H8" i="62"/>
  <c r="K7" i="72"/>
  <c r="E29" i="26" s="1"/>
  <c r="U24" i="72"/>
  <c r="L6" i="65"/>
  <c r="AV6" i="65" s="1"/>
  <c r="AA30" i="72"/>
  <c r="Z30" i="62"/>
  <c r="T24" i="62"/>
  <c r="Z24" i="62"/>
  <c r="L5" i="71"/>
  <c r="AV5" i="71" s="1"/>
  <c r="L7" i="68"/>
  <c r="AV7" i="68" s="1"/>
  <c r="L6" i="66"/>
  <c r="AV6" i="66" s="1"/>
  <c r="I8" i="62"/>
  <c r="Z27" i="62"/>
  <c r="Z33" i="62"/>
  <c r="M8" i="62"/>
  <c r="T27" i="62"/>
  <c r="K7" i="71"/>
  <c r="M6" i="62"/>
  <c r="L6" i="64"/>
  <c r="AV6" i="64" s="1"/>
  <c r="J5" i="68"/>
  <c r="L6" i="71"/>
  <c r="AV6" i="71" s="1"/>
  <c r="K7" i="66"/>
  <c r="E54" i="26" s="1"/>
  <c r="J5" i="71"/>
  <c r="Z28" i="62"/>
  <c r="T22" i="62"/>
  <c r="Z22" i="62"/>
  <c r="V25" i="65"/>
  <c r="J8" i="71"/>
  <c r="K8" i="71"/>
  <c r="E35" i="26" s="1"/>
  <c r="K8" i="68"/>
  <c r="E60" i="26" s="1"/>
  <c r="L6" i="69"/>
  <c r="AV6" i="69" s="1"/>
  <c r="J8" i="66"/>
  <c r="J6" i="71"/>
  <c r="AA25" i="65"/>
  <c r="K6" i="64"/>
  <c r="E38" i="26" s="1"/>
  <c r="J5" i="64"/>
  <c r="J7" i="64"/>
  <c r="L5" i="65"/>
  <c r="AV5" i="65" s="1"/>
  <c r="K7" i="65"/>
  <c r="J7" i="66"/>
  <c r="J6" i="69"/>
  <c r="K8" i="66"/>
  <c r="AA31" i="65"/>
  <c r="K7" i="64"/>
  <c r="E39" i="26" s="1"/>
  <c r="L7" i="66"/>
  <c r="AV7" i="66" s="1"/>
  <c r="L7" i="64"/>
  <c r="AV7" i="64" s="1"/>
  <c r="L8" i="68"/>
  <c r="AV8" i="68" s="1"/>
  <c r="L7" i="69"/>
  <c r="AV7" i="69" s="1"/>
  <c r="J7" i="65"/>
  <c r="U23" i="69"/>
  <c r="AA24" i="64"/>
  <c r="V24" i="64"/>
  <c r="K7" i="68"/>
  <c r="L7" i="65"/>
  <c r="AV7" i="65" s="1"/>
  <c r="L8" i="71"/>
  <c r="AV8" i="71" s="1"/>
  <c r="L8" i="66"/>
  <c r="AV8" i="66" s="1"/>
  <c r="AA32" i="62"/>
  <c r="V23" i="69"/>
  <c r="V26" i="62"/>
  <c r="AA23" i="69"/>
  <c r="U26" i="62"/>
  <c r="L8" i="64"/>
  <c r="AV8" i="64" s="1"/>
  <c r="J6" i="64"/>
  <c r="L5" i="68"/>
  <c r="AV5" i="68" s="1"/>
  <c r="L5" i="69"/>
  <c r="AV5" i="69" s="1"/>
  <c r="L5" i="64"/>
  <c r="AV5" i="64" s="1"/>
  <c r="K5" i="68"/>
  <c r="K5" i="65"/>
  <c r="E42" i="26" s="1"/>
  <c r="K5" i="64"/>
  <c r="E37" i="26" s="1"/>
  <c r="AA23" i="65"/>
  <c r="V23" i="65"/>
  <c r="U23" i="65"/>
  <c r="AA29" i="65"/>
  <c r="AA22" i="66"/>
  <c r="V22" i="66"/>
  <c r="U22" i="66"/>
  <c r="AA28" i="66"/>
  <c r="E32" i="26"/>
  <c r="J5" i="61" l="1"/>
  <c r="J6" i="61"/>
  <c r="L5" i="61"/>
  <c r="AV5" i="61" s="1"/>
  <c r="K6" i="61"/>
  <c r="J8" i="61"/>
  <c r="K5" i="61"/>
  <c r="E7" i="26" s="1"/>
  <c r="J7" i="61"/>
  <c r="L6" i="61"/>
  <c r="AV6" i="61" s="1"/>
  <c r="L7" i="61"/>
  <c r="AV7" i="61" s="1"/>
  <c r="K8" i="61"/>
  <c r="E10" i="26" s="1"/>
  <c r="K7" i="61"/>
  <c r="E9" i="26" s="1"/>
  <c r="L8" i="61"/>
  <c r="AV8" i="61" s="1"/>
  <c r="U23" i="61"/>
  <c r="AA23" i="61"/>
  <c r="AA29" i="61"/>
  <c r="I17" i="70"/>
  <c r="I17" i="63"/>
  <c r="I15" i="70"/>
  <c r="I14" i="70"/>
  <c r="E20" i="26"/>
  <c r="I16" i="70"/>
  <c r="I15" i="63"/>
  <c r="I16" i="63"/>
  <c r="I14" i="63"/>
  <c r="L9" i="70"/>
  <c r="R7" i="70" s="1"/>
  <c r="L9" i="63"/>
  <c r="R7" i="63" s="1"/>
  <c r="I14" i="66"/>
  <c r="J7" i="62"/>
  <c r="E8" i="26"/>
  <c r="I15" i="67"/>
  <c r="K5" i="62"/>
  <c r="E12" i="26" s="1"/>
  <c r="L9" i="67"/>
  <c r="R7" i="67" s="1"/>
  <c r="J5" i="62"/>
  <c r="I15" i="72"/>
  <c r="I14" i="67"/>
  <c r="I17" i="72"/>
  <c r="I14" i="72"/>
  <c r="E65" i="26"/>
  <c r="I16" i="72"/>
  <c r="I17" i="67"/>
  <c r="I16" i="67"/>
  <c r="E28" i="26"/>
  <c r="I17" i="69"/>
  <c r="K6" i="62"/>
  <c r="E13" i="26" s="1"/>
  <c r="I14" i="68"/>
  <c r="J8" i="62"/>
  <c r="I14" i="71"/>
  <c r="K7" i="62"/>
  <c r="E14" i="26" s="1"/>
  <c r="L9" i="72"/>
  <c r="R5" i="72" s="1"/>
  <c r="I14" i="69"/>
  <c r="L9" i="64"/>
  <c r="R5" i="64" s="1"/>
  <c r="I15" i="69"/>
  <c r="L5" i="62"/>
  <c r="AV5" i="62" s="1"/>
  <c r="I16" i="69"/>
  <c r="L7" i="62"/>
  <c r="AV7" i="62" s="1"/>
  <c r="I15" i="66"/>
  <c r="I15" i="71"/>
  <c r="E34" i="26"/>
  <c r="I16" i="71"/>
  <c r="L6" i="62"/>
  <c r="AV6" i="62" s="1"/>
  <c r="I17" i="71"/>
  <c r="AA33" i="62"/>
  <c r="AA27" i="62"/>
  <c r="V27" i="62"/>
  <c r="U27" i="62"/>
  <c r="E55" i="26"/>
  <c r="L8" i="62"/>
  <c r="AV8" i="62" s="1"/>
  <c r="K8" i="62"/>
  <c r="I17" i="66"/>
  <c r="V22" i="62"/>
  <c r="AA28" i="62"/>
  <c r="AA22" i="62"/>
  <c r="U22" i="62"/>
  <c r="I16" i="66"/>
  <c r="L9" i="69"/>
  <c r="R7" i="69" s="1"/>
  <c r="V24" i="62"/>
  <c r="U24" i="62"/>
  <c r="AA30" i="62"/>
  <c r="AA24" i="62"/>
  <c r="I14" i="65"/>
  <c r="L9" i="65"/>
  <c r="I15" i="65"/>
  <c r="I16" i="68"/>
  <c r="E44" i="26"/>
  <c r="I17" i="65"/>
  <c r="I16" i="65"/>
  <c r="L9" i="71"/>
  <c r="R5" i="71" s="1"/>
  <c r="I17" i="64"/>
  <c r="I16" i="64"/>
  <c r="I15" i="64"/>
  <c r="I14" i="64"/>
  <c r="I17" i="68"/>
  <c r="E57" i="26"/>
  <c r="E59" i="26"/>
  <c r="I15" i="68"/>
  <c r="L9" i="68"/>
  <c r="R6" i="68" s="1"/>
  <c r="L9" i="66"/>
  <c r="R5" i="66" s="1"/>
  <c r="L9" i="61" l="1"/>
  <c r="R7" i="61" s="1"/>
  <c r="I16" i="61"/>
  <c r="I15" i="61"/>
  <c r="I14" i="61"/>
  <c r="I17" i="61"/>
  <c r="R6" i="70"/>
  <c r="R5" i="70"/>
  <c r="R8" i="70"/>
  <c r="O15" i="70" a="1"/>
  <c r="O15" i="70" s="1"/>
  <c r="K15" i="70" a="1"/>
  <c r="K15" i="70" s="1"/>
  <c r="O14" i="70" a="1"/>
  <c r="O14" i="70" s="1"/>
  <c r="AX22" i="70" a="1"/>
  <c r="AX22" i="70" s="1"/>
  <c r="AY23" i="70" s="1"/>
  <c r="O16" i="70" a="1"/>
  <c r="O16" i="70" s="1"/>
  <c r="K17" i="70" a="1"/>
  <c r="K17" i="70" s="1"/>
  <c r="S16" i="70" a="1"/>
  <c r="S16" i="70" s="1"/>
  <c r="K14" i="70" a="1"/>
  <c r="K14" i="70" s="1"/>
  <c r="S15" i="70" a="1"/>
  <c r="S15" i="70" s="1"/>
  <c r="S14" i="70" a="1"/>
  <c r="S14" i="70" s="1"/>
  <c r="AX14" i="70" a="1"/>
  <c r="AX14" i="70" s="1"/>
  <c r="O17" i="70" a="1"/>
  <c r="O17" i="70" s="1"/>
  <c r="S17" i="70" a="1"/>
  <c r="S17" i="70" s="1"/>
  <c r="K16" i="70" a="1"/>
  <c r="K16" i="70" s="1"/>
  <c r="O14" i="63" a="1"/>
  <c r="O14" i="63" s="1"/>
  <c r="K16" i="63" a="1"/>
  <c r="K16" i="63" s="1"/>
  <c r="O17" i="63" a="1"/>
  <c r="O17" i="63" s="1"/>
  <c r="K17" i="63" a="1"/>
  <c r="K17" i="63" s="1"/>
  <c r="K15" i="63" a="1"/>
  <c r="K15" i="63" s="1"/>
  <c r="K14" i="63" a="1"/>
  <c r="K14" i="63" s="1"/>
  <c r="AX14" i="63" a="1"/>
  <c r="AX14" i="63" s="1"/>
  <c r="S17" i="63" a="1"/>
  <c r="S17" i="63" s="1"/>
  <c r="S14" i="63" a="1"/>
  <c r="S14" i="63" s="1"/>
  <c r="O15" i="63" a="1"/>
  <c r="O15" i="63" s="1"/>
  <c r="O16" i="63" a="1"/>
  <c r="O16" i="63" s="1"/>
  <c r="S16" i="63" a="1"/>
  <c r="S16" i="63" s="1"/>
  <c r="S15" i="63" a="1"/>
  <c r="S15" i="63" s="1"/>
  <c r="AX22" i="63" a="1"/>
  <c r="AX22" i="63" s="1"/>
  <c r="AY24" i="63" s="1"/>
  <c r="R5" i="61"/>
  <c r="R6" i="61"/>
  <c r="R8" i="68"/>
  <c r="R5" i="63"/>
  <c r="R8" i="63"/>
  <c r="R6" i="63"/>
  <c r="S17" i="66" a="1"/>
  <c r="S17" i="66" s="1"/>
  <c r="O15" i="67" a="1"/>
  <c r="O15" i="67" s="1"/>
  <c r="R5" i="67"/>
  <c r="K16" i="66" a="1"/>
  <c r="K16" i="66" s="1"/>
  <c r="K15" i="67" a="1"/>
  <c r="K15" i="67" s="1"/>
  <c r="R8" i="67"/>
  <c r="R6" i="67"/>
  <c r="K16" i="67" a="1"/>
  <c r="K16" i="67" s="1"/>
  <c r="K17" i="66" a="1"/>
  <c r="K17" i="66" s="1"/>
  <c r="K17" i="67" a="1"/>
  <c r="K17" i="67" s="1"/>
  <c r="AX22" i="66" a="1"/>
  <c r="AX22" i="66" s="1"/>
  <c r="AY25" i="66" s="1"/>
  <c r="S16" i="67" a="1"/>
  <c r="S16" i="67" s="1"/>
  <c r="AX14" i="67" a="1"/>
  <c r="AX14" i="67" s="1"/>
  <c r="S15" i="66" a="1"/>
  <c r="S15" i="66" s="1"/>
  <c r="S15" i="67" a="1"/>
  <c r="S15" i="67" s="1"/>
  <c r="K14" i="67" a="1"/>
  <c r="K14" i="67" s="1"/>
  <c r="O15" i="66" a="1"/>
  <c r="O15" i="66" s="1"/>
  <c r="O17" i="66" a="1"/>
  <c r="O17" i="66" s="1"/>
  <c r="S14" i="67" a="1"/>
  <c r="S14" i="67" s="1"/>
  <c r="O16" i="67" a="1"/>
  <c r="O16" i="67" s="1"/>
  <c r="O14" i="66" a="1"/>
  <c r="O14" i="66" s="1"/>
  <c r="AX14" i="66" a="1"/>
  <c r="AX14" i="66" s="1"/>
  <c r="O17" i="67" a="1"/>
  <c r="O17" i="67" s="1"/>
  <c r="AX22" i="67" a="1"/>
  <c r="AX22" i="67" s="1"/>
  <c r="AY23" i="67" s="1"/>
  <c r="O14" i="67" a="1"/>
  <c r="O14" i="67" s="1"/>
  <c r="S17" i="67" a="1"/>
  <c r="S17" i="67" s="1"/>
  <c r="K15" i="66" a="1"/>
  <c r="K15" i="66" s="1"/>
  <c r="O16" i="66" a="1"/>
  <c r="O16" i="66" s="1"/>
  <c r="K14" i="66" a="1"/>
  <c r="K14" i="66" s="1"/>
  <c r="O15" i="69" a="1"/>
  <c r="O15" i="69" s="1"/>
  <c r="S16" i="72" a="1"/>
  <c r="S16" i="72" s="1"/>
  <c r="S16" i="66" a="1"/>
  <c r="S16" i="66" s="1"/>
  <c r="S14" i="66" a="1"/>
  <c r="S14" i="66" s="1"/>
  <c r="O17" i="72" a="1"/>
  <c r="O17" i="72" s="1"/>
  <c r="K16" i="72" a="1"/>
  <c r="K16" i="72" s="1"/>
  <c r="S14" i="72" a="1"/>
  <c r="S14" i="72" s="1"/>
  <c r="S15" i="72" a="1"/>
  <c r="S15" i="72" s="1"/>
  <c r="O14" i="72" a="1"/>
  <c r="O14" i="72" s="1"/>
  <c r="K15" i="72" a="1"/>
  <c r="K15" i="72" s="1"/>
  <c r="O16" i="72" a="1"/>
  <c r="O16" i="72" s="1"/>
  <c r="O15" i="72" a="1"/>
  <c r="O15" i="72" s="1"/>
  <c r="AX22" i="69" a="1"/>
  <c r="AX22" i="69" s="1"/>
  <c r="AY22" i="69" s="1"/>
  <c r="K14" i="72" a="1"/>
  <c r="K14" i="72" s="1"/>
  <c r="S17" i="72" a="1"/>
  <c r="S17" i="72" s="1"/>
  <c r="AX14" i="72" a="1"/>
  <c r="AX14" i="72" s="1"/>
  <c r="K17" i="72" a="1"/>
  <c r="K17" i="72" s="1"/>
  <c r="AX22" i="72" a="1"/>
  <c r="AX22" i="72" s="1"/>
  <c r="S14" i="69" a="1"/>
  <c r="S14" i="69" s="1"/>
  <c r="O17" i="68" a="1"/>
  <c r="O17" i="68" s="1"/>
  <c r="O16" i="71" a="1"/>
  <c r="O16" i="71" s="1"/>
  <c r="AX22" i="71" a="1"/>
  <c r="AX22" i="71" s="1"/>
  <c r="S16" i="71" a="1"/>
  <c r="S16" i="71" s="1"/>
  <c r="K17" i="68" a="1"/>
  <c r="K17" i="68" s="1"/>
  <c r="O17" i="71" a="1"/>
  <c r="O17" i="71" s="1"/>
  <c r="R8" i="72"/>
  <c r="S16" i="68" a="1"/>
  <c r="S16" i="68" s="1"/>
  <c r="K16" i="71" a="1"/>
  <c r="K16" i="71" s="1"/>
  <c r="R6" i="72"/>
  <c r="S17" i="71" a="1"/>
  <c r="S17" i="71" s="1"/>
  <c r="S14" i="71" a="1"/>
  <c r="S14" i="71" s="1"/>
  <c r="R7" i="72"/>
  <c r="K17" i="71" a="1"/>
  <c r="K17" i="71" s="1"/>
  <c r="K16" i="68" a="1"/>
  <c r="K16" i="68" s="1"/>
  <c r="AX22" i="68" a="1"/>
  <c r="AX22" i="68" s="1"/>
  <c r="AY23" i="68" s="1"/>
  <c r="K15" i="68" a="1"/>
  <c r="K15" i="68" s="1"/>
  <c r="AX14" i="68" a="1"/>
  <c r="AX14" i="68" s="1"/>
  <c r="S15" i="68" a="1"/>
  <c r="S15" i="68" s="1"/>
  <c r="O16" i="68" a="1"/>
  <c r="O16" i="68" s="1"/>
  <c r="O15" i="68" a="1"/>
  <c r="O15" i="68" s="1"/>
  <c r="O14" i="68" a="1"/>
  <c r="O14" i="68" s="1"/>
  <c r="S17" i="68" a="1"/>
  <c r="S17" i="68" s="1"/>
  <c r="S14" i="68" a="1"/>
  <c r="S14" i="68" s="1"/>
  <c r="K14" i="68" a="1"/>
  <c r="K14" i="68" s="1"/>
  <c r="AX22" i="65" a="1"/>
  <c r="AX22" i="65" s="1"/>
  <c r="R7" i="68"/>
  <c r="K17" i="69" a="1"/>
  <c r="K17" i="69" s="1"/>
  <c r="K14" i="65" a="1"/>
  <c r="K14" i="65" s="1"/>
  <c r="S15" i="65" a="1"/>
  <c r="S15" i="65" s="1"/>
  <c r="S15" i="69" a="1"/>
  <c r="S15" i="69" s="1"/>
  <c r="AX14" i="64" a="1"/>
  <c r="AX14" i="64" s="1"/>
  <c r="R5" i="68"/>
  <c r="O16" i="65" a="1"/>
  <c r="O16" i="65" s="1"/>
  <c r="AX14" i="69" a="1"/>
  <c r="AX14" i="69" s="1"/>
  <c r="S16" i="69" a="1"/>
  <c r="S16" i="69" s="1"/>
  <c r="O14" i="69" a="1"/>
  <c r="O14" i="69" s="1"/>
  <c r="S17" i="65" a="1"/>
  <c r="S17" i="65" s="1"/>
  <c r="K16" i="69" a="1"/>
  <c r="K16" i="69" s="1"/>
  <c r="K17" i="65" a="1"/>
  <c r="K17" i="65" s="1"/>
  <c r="K15" i="65" a="1"/>
  <c r="K15" i="65" s="1"/>
  <c r="K14" i="69" a="1"/>
  <c r="K14" i="69" s="1"/>
  <c r="O17" i="69" a="1"/>
  <c r="O17" i="69" s="1"/>
  <c r="AX14" i="65" a="1"/>
  <c r="AX14" i="65" s="1"/>
  <c r="K15" i="69" a="1"/>
  <c r="K15" i="69" s="1"/>
  <c r="S17" i="69" a="1"/>
  <c r="S17" i="69" s="1"/>
  <c r="O14" i="65" a="1"/>
  <c r="O14" i="65" s="1"/>
  <c r="S16" i="65" a="1"/>
  <c r="S16" i="65" s="1"/>
  <c r="O16" i="69" a="1"/>
  <c r="O16" i="69" s="1"/>
  <c r="R6" i="66"/>
  <c r="R8" i="64"/>
  <c r="R8" i="66"/>
  <c r="O14" i="64" a="1"/>
  <c r="O14" i="64" s="1"/>
  <c r="R7" i="66"/>
  <c r="R6" i="64"/>
  <c r="R7" i="64"/>
  <c r="O17" i="64" a="1"/>
  <c r="O17" i="64" s="1"/>
  <c r="AX14" i="71" a="1"/>
  <c r="AX14" i="71" s="1"/>
  <c r="O14" i="71" a="1"/>
  <c r="O14" i="71" s="1"/>
  <c r="R6" i="71"/>
  <c r="K14" i="71" a="1"/>
  <c r="K14" i="71" s="1"/>
  <c r="R8" i="71"/>
  <c r="S14" i="65" a="1"/>
  <c r="S14" i="65" s="1"/>
  <c r="K16" i="65" a="1"/>
  <c r="K16" i="65" s="1"/>
  <c r="O15" i="71" a="1"/>
  <c r="O15" i="71" s="1"/>
  <c r="R7" i="71"/>
  <c r="S15" i="71" a="1"/>
  <c r="S15" i="71" s="1"/>
  <c r="O17" i="65" a="1"/>
  <c r="O17" i="65" s="1"/>
  <c r="O15" i="65" a="1"/>
  <c r="O15" i="65" s="1"/>
  <c r="K15" i="71" a="1"/>
  <c r="K15" i="71" s="1"/>
  <c r="R5" i="69"/>
  <c r="I17" i="62"/>
  <c r="I15" i="62"/>
  <c r="I14" i="62"/>
  <c r="E15" i="26"/>
  <c r="I16" i="62"/>
  <c r="R6" i="69"/>
  <c r="L9" i="62"/>
  <c r="R8" i="69"/>
  <c r="S16" i="64" a="1"/>
  <c r="S16" i="64" s="1"/>
  <c r="S15" i="64" a="1"/>
  <c r="S15" i="64" s="1"/>
  <c r="S14" i="64" a="1"/>
  <c r="S14" i="64" s="1"/>
  <c r="K16" i="64" a="1"/>
  <c r="K16" i="64" s="1"/>
  <c r="K15" i="64" a="1"/>
  <c r="K15" i="64" s="1"/>
  <c r="AX22" i="64" a="1"/>
  <c r="AX22" i="64" s="1"/>
  <c r="O15" i="64" a="1"/>
  <c r="O15" i="64" s="1"/>
  <c r="K14" i="64" a="1"/>
  <c r="K14" i="64" s="1"/>
  <c r="R8" i="65"/>
  <c r="R7" i="65"/>
  <c r="R6" i="65"/>
  <c r="R5" i="65"/>
  <c r="S17" i="64" a="1"/>
  <c r="S17" i="64" s="1"/>
  <c r="K17" i="64" a="1"/>
  <c r="K17" i="64" s="1"/>
  <c r="O16" i="64" a="1"/>
  <c r="O16" i="64" s="1"/>
  <c r="AY24" i="70"/>
  <c r="AX14" i="61" l="1" a="1"/>
  <c r="AX14" i="61" s="1"/>
  <c r="R8" i="61"/>
  <c r="O15" i="61" a="1"/>
  <c r="O15" i="61" s="1"/>
  <c r="S14" i="61" a="1"/>
  <c r="S14" i="61" s="1"/>
  <c r="O17" i="61" a="1"/>
  <c r="O17" i="61" s="1"/>
  <c r="AX22" i="61" a="1"/>
  <c r="AX22" i="61" s="1"/>
  <c r="K14" i="61" a="1"/>
  <c r="K14" i="61" s="1"/>
  <c r="K17" i="61" a="1"/>
  <c r="K17" i="61" s="1"/>
  <c r="S17" i="61" a="1"/>
  <c r="S17" i="61" s="1"/>
  <c r="O16" i="61" a="1"/>
  <c r="O16" i="61" s="1"/>
  <c r="S16" i="61" a="1"/>
  <c r="S16" i="61" s="1"/>
  <c r="S15" i="61" a="1"/>
  <c r="S15" i="61" s="1"/>
  <c r="K16" i="61" a="1"/>
  <c r="K16" i="61" s="1"/>
  <c r="O14" i="61" a="1"/>
  <c r="O14" i="61" s="1"/>
  <c r="K15" i="61" a="1"/>
  <c r="K15" i="61" s="1"/>
  <c r="L16" i="70"/>
  <c r="M16" i="70" s="1"/>
  <c r="P16" i="70" s="1"/>
  <c r="Q16" i="70" s="1"/>
  <c r="L15" i="70"/>
  <c r="M15" i="70" s="1"/>
  <c r="P15" i="70" s="1"/>
  <c r="Q15" i="70" s="1"/>
  <c r="L14" i="70"/>
  <c r="M14" i="70" s="1"/>
  <c r="P14" i="70" s="1"/>
  <c r="Q14" i="70" s="1"/>
  <c r="L17" i="70"/>
  <c r="M17" i="70" s="1"/>
  <c r="P17" i="70" s="1"/>
  <c r="Q17" i="70" s="1"/>
  <c r="L17" i="63"/>
  <c r="M17" i="63" s="1"/>
  <c r="P17" i="63" s="1"/>
  <c r="Q17" i="63" s="1"/>
  <c r="L15" i="63"/>
  <c r="M15" i="63" s="1"/>
  <c r="P15" i="63" s="1"/>
  <c r="Q15" i="63" s="1"/>
  <c r="L16" i="63"/>
  <c r="M16" i="63" s="1"/>
  <c r="P16" i="63" s="1"/>
  <c r="Q16" i="63" s="1"/>
  <c r="L14" i="63"/>
  <c r="M14" i="63" s="1"/>
  <c r="P14" i="63" s="1"/>
  <c r="AY23" i="66"/>
  <c r="L15" i="66"/>
  <c r="M15" i="66" s="1"/>
  <c r="L17" i="66"/>
  <c r="M17" i="66" s="1"/>
  <c r="P17" i="66" s="1"/>
  <c r="L16" i="66"/>
  <c r="M16" i="66" s="1"/>
  <c r="P16" i="66" s="1"/>
  <c r="Q16" i="66" s="1"/>
  <c r="T16" i="66" s="1"/>
  <c r="U16" i="66" s="1"/>
  <c r="AY22" i="66"/>
  <c r="AY24" i="66"/>
  <c r="L14" i="66"/>
  <c r="M14" i="66" s="1"/>
  <c r="P14" i="66" s="1"/>
  <c r="L16" i="72"/>
  <c r="M16" i="72" s="1"/>
  <c r="P16" i="72" s="1"/>
  <c r="Q16" i="72" s="1"/>
  <c r="L14" i="67"/>
  <c r="M14" i="67" s="1"/>
  <c r="L14" i="72"/>
  <c r="M14" i="72" s="1"/>
  <c r="P14" i="72" s="1"/>
  <c r="Q14" i="72" s="1"/>
  <c r="L17" i="67"/>
  <c r="M17" i="67" s="1"/>
  <c r="P17" i="67" s="1"/>
  <c r="Q17" i="67" s="1"/>
  <c r="L15" i="67"/>
  <c r="M15" i="67" s="1"/>
  <c r="AY24" i="67"/>
  <c r="L16" i="67"/>
  <c r="M16" i="67" s="1"/>
  <c r="P16" i="67" s="1"/>
  <c r="Q16" i="67" s="1"/>
  <c r="L14" i="68"/>
  <c r="M14" i="68" s="1"/>
  <c r="P14" i="68" s="1"/>
  <c r="Q14" i="68" s="1"/>
  <c r="L15" i="68"/>
  <c r="M15" i="68" s="1"/>
  <c r="P15" i="68" s="1"/>
  <c r="Q15" i="68" s="1"/>
  <c r="L15" i="72"/>
  <c r="M15" i="72" s="1"/>
  <c r="P15" i="72" s="1"/>
  <c r="AY25" i="69"/>
  <c r="AY24" i="69"/>
  <c r="AY23" i="69"/>
  <c r="L16" i="68"/>
  <c r="M16" i="68" s="1"/>
  <c r="P16" i="68" s="1"/>
  <c r="Q16" i="68" s="1"/>
  <c r="L17" i="72"/>
  <c r="M17" i="72" s="1"/>
  <c r="AY22" i="65"/>
  <c r="L17" i="68"/>
  <c r="M17" i="68" s="1"/>
  <c r="P17" i="68" s="1"/>
  <c r="Q17" i="68" s="1"/>
  <c r="L17" i="65"/>
  <c r="M17" i="65" s="1"/>
  <c r="AY24" i="65"/>
  <c r="L16" i="71"/>
  <c r="M16" i="71" s="1"/>
  <c r="P16" i="71" s="1"/>
  <c r="Q16" i="71" s="1"/>
  <c r="L14" i="69"/>
  <c r="M14" i="69" s="1"/>
  <c r="L15" i="71"/>
  <c r="M15" i="71" s="1"/>
  <c r="P15" i="71" s="1"/>
  <c r="Q15" i="71" s="1"/>
  <c r="L17" i="71"/>
  <c r="M17" i="71" s="1"/>
  <c r="P17" i="71" s="1"/>
  <c r="Q17" i="71" s="1"/>
  <c r="L14" i="71"/>
  <c r="M14" i="71" s="1"/>
  <c r="P14" i="71" s="1"/>
  <c r="Q14" i="71" s="1"/>
  <c r="L15" i="69"/>
  <c r="M15" i="69" s="1"/>
  <c r="P15" i="69" s="1"/>
  <c r="Q15" i="69" s="1"/>
  <c r="L17" i="69"/>
  <c r="M17" i="69" s="1"/>
  <c r="L16" i="69"/>
  <c r="M16" i="69" s="1"/>
  <c r="L14" i="65"/>
  <c r="M14" i="65" s="1"/>
  <c r="P14" i="65" s="1"/>
  <c r="Q14" i="65" s="1"/>
  <c r="T14" i="65" s="1"/>
  <c r="U14" i="65" s="1"/>
  <c r="L15" i="65"/>
  <c r="M15" i="65" s="1"/>
  <c r="P15" i="65" s="1"/>
  <c r="Q15" i="65" s="1"/>
  <c r="L16" i="65"/>
  <c r="M16" i="65" s="1"/>
  <c r="L17" i="64"/>
  <c r="M17" i="64" s="1"/>
  <c r="L16" i="64"/>
  <c r="M16" i="64" s="1"/>
  <c r="K17" i="62" a="1"/>
  <c r="K17" i="62" s="1"/>
  <c r="AX14" i="62" a="1"/>
  <c r="AX14" i="62" s="1"/>
  <c r="O14" i="62" a="1"/>
  <c r="O14" i="62" s="1"/>
  <c r="S16" i="62" a="1"/>
  <c r="S16" i="62" s="1"/>
  <c r="K15" i="62" a="1"/>
  <c r="K15" i="62" s="1"/>
  <c r="S17" i="62" a="1"/>
  <c r="S17" i="62" s="1"/>
  <c r="AX22" i="62" a="1"/>
  <c r="AX22" i="62" s="1"/>
  <c r="O17" i="62" a="1"/>
  <c r="O17" i="62" s="1"/>
  <c r="O15" i="62" a="1"/>
  <c r="O15" i="62" s="1"/>
  <c r="K14" i="62" a="1"/>
  <c r="K14" i="62" s="1"/>
  <c r="O16" i="62" a="1"/>
  <c r="O16" i="62" s="1"/>
  <c r="S14" i="62" a="1"/>
  <c r="S14" i="62" s="1"/>
  <c r="S15" i="62" a="1"/>
  <c r="S15" i="62" s="1"/>
  <c r="K16" i="62" a="1"/>
  <c r="K16" i="62" s="1"/>
  <c r="R5" i="62"/>
  <c r="G17" i="16"/>
  <c r="R7" i="62"/>
  <c r="R8" i="62"/>
  <c r="R6" i="62"/>
  <c r="L14" i="64"/>
  <c r="M14" i="64" s="1"/>
  <c r="P14" i="64" s="1"/>
  <c r="Q14" i="64" s="1"/>
  <c r="L15" i="64"/>
  <c r="M15" i="64" s="1"/>
  <c r="P15" i="66"/>
  <c r="Q15" i="66" s="1"/>
  <c r="L14" i="61" l="1"/>
  <c r="M14" i="61" s="1"/>
  <c r="P14" i="61" s="1"/>
  <c r="Q14" i="61" s="1"/>
  <c r="L15" i="61"/>
  <c r="M15" i="61" s="1"/>
  <c r="P15" i="61" s="1"/>
  <c r="Q15" i="61" s="1"/>
  <c r="T15" i="61" s="1"/>
  <c r="U15" i="61" s="1"/>
  <c r="L16" i="61"/>
  <c r="M16" i="61" s="1"/>
  <c r="P16" i="61" s="1"/>
  <c r="Q16" i="61" s="1"/>
  <c r="L17" i="61"/>
  <c r="M17" i="61" s="1"/>
  <c r="P17" i="61" s="1"/>
  <c r="Q17" i="61" s="1"/>
  <c r="Q14" i="63"/>
  <c r="Q14" i="66"/>
  <c r="T14" i="66" s="1"/>
  <c r="U14" i="66" s="1"/>
  <c r="T15" i="63"/>
  <c r="U15" i="63" s="1"/>
  <c r="BB6" i="66"/>
  <c r="BB5" i="66"/>
  <c r="BB8" i="66"/>
  <c r="BB7" i="66"/>
  <c r="Q17" i="66"/>
  <c r="T17" i="66" s="1"/>
  <c r="U17" i="66" s="1"/>
  <c r="P17" i="72"/>
  <c r="Q17" i="72" s="1"/>
  <c r="T17" i="72" s="1"/>
  <c r="U17" i="72" s="1"/>
  <c r="P16" i="64"/>
  <c r="Q16" i="64" s="1"/>
  <c r="P15" i="64"/>
  <c r="Q15" i="64" s="1"/>
  <c r="T15" i="64" s="1"/>
  <c r="U15" i="64" s="1"/>
  <c r="P17" i="64"/>
  <c r="Q17" i="64" s="1"/>
  <c r="T17" i="64" s="1"/>
  <c r="U17" i="64" s="1"/>
  <c r="P16" i="65"/>
  <c r="Q16" i="65" s="1"/>
  <c r="T16" i="65" s="1"/>
  <c r="U16" i="65" s="1"/>
  <c r="P17" i="65"/>
  <c r="Q17" i="65" s="1"/>
  <c r="T17" i="65" s="1"/>
  <c r="U17" i="65" s="1"/>
  <c r="P14" i="69"/>
  <c r="Q14" i="69" s="1"/>
  <c r="T14" i="69" s="1"/>
  <c r="U14" i="69" s="1"/>
  <c r="P16" i="69"/>
  <c r="Q16" i="69" s="1"/>
  <c r="P17" i="69"/>
  <c r="Q17" i="69" s="1"/>
  <c r="T17" i="69" s="1"/>
  <c r="U17" i="69" s="1"/>
  <c r="P15" i="67"/>
  <c r="Q15" i="67" s="1"/>
  <c r="T15" i="67" s="1"/>
  <c r="U15" i="67" s="1"/>
  <c r="P14" i="67"/>
  <c r="Q14" i="67" s="1"/>
  <c r="T14" i="67" s="1"/>
  <c r="U14" i="67" s="1"/>
  <c r="Q15" i="72"/>
  <c r="T15" i="72" s="1"/>
  <c r="U15" i="72" s="1"/>
  <c r="BB5" i="69"/>
  <c r="BB7" i="69"/>
  <c r="BB8" i="69"/>
  <c r="BB6" i="69"/>
  <c r="L16" i="62"/>
  <c r="M16" i="62" s="1"/>
  <c r="P16" i="62" s="1"/>
  <c r="Q16" i="62" s="1"/>
  <c r="T16" i="62" s="1"/>
  <c r="U16" i="62" s="1"/>
  <c r="L17" i="62"/>
  <c r="M17" i="62" s="1"/>
  <c r="P17" i="62" s="1"/>
  <c r="Q17" i="62" s="1"/>
  <c r="L15" i="62"/>
  <c r="M15" i="62" s="1"/>
  <c r="P15" i="62" s="1"/>
  <c r="Q15" i="62" s="1"/>
  <c r="T15" i="62" s="1"/>
  <c r="U15" i="62" s="1"/>
  <c r="L14" i="62"/>
  <c r="M14" i="62" s="1"/>
  <c r="P14" i="62" s="1"/>
  <c r="Q14" i="62" s="1"/>
  <c r="T14" i="64"/>
  <c r="U14" i="64" s="1"/>
  <c r="T16" i="67"/>
  <c r="U16" i="67" s="1"/>
  <c r="T16" i="71"/>
  <c r="U16" i="71" s="1"/>
  <c r="T14" i="71"/>
  <c r="U14" i="71" s="1"/>
  <c r="T17" i="71"/>
  <c r="U17" i="71" s="1"/>
  <c r="T15" i="71"/>
  <c r="U15" i="71" s="1"/>
  <c r="T15" i="65"/>
  <c r="U15" i="65" s="1"/>
  <c r="T17" i="61"/>
  <c r="U17" i="61" s="1"/>
  <c r="T14" i="61"/>
  <c r="U14" i="61" s="1"/>
  <c r="T16" i="61"/>
  <c r="U16" i="61" s="1"/>
  <c r="T14" i="70"/>
  <c r="U14" i="70" s="1"/>
  <c r="T17" i="70"/>
  <c r="U17" i="70" s="1"/>
  <c r="T14" i="68"/>
  <c r="U14" i="68" s="1"/>
  <c r="T17" i="68"/>
  <c r="U17" i="68" s="1"/>
  <c r="T16" i="72"/>
  <c r="U16" i="72" s="1"/>
  <c r="T16" i="68"/>
  <c r="U16" i="68" s="1"/>
  <c r="T15" i="66"/>
  <c r="U15" i="66" s="1"/>
  <c r="T16" i="63"/>
  <c r="U16" i="63" s="1"/>
  <c r="T17" i="63"/>
  <c r="U17" i="63" s="1"/>
  <c r="T16" i="70"/>
  <c r="U16" i="70" s="1"/>
  <c r="T15" i="68"/>
  <c r="U15" i="68" s="1"/>
  <c r="T14" i="72"/>
  <c r="U14" i="72" s="1"/>
  <c r="T14" i="63"/>
  <c r="U14" i="63" s="1"/>
  <c r="T15" i="70"/>
  <c r="U15" i="70" s="1"/>
  <c r="BA22" i="66" l="1" a="1"/>
  <c r="BA24" i="66" s="1"/>
  <c r="BB22" i="66" a="1"/>
  <c r="BB23" i="66" s="1"/>
  <c r="AZ22" i="66" a="1"/>
  <c r="AZ22" i="66" s="1"/>
  <c r="BC22" i="66" a="1"/>
  <c r="BC23" i="66" s="1"/>
  <c r="T17" i="67"/>
  <c r="U17" i="67" s="1"/>
  <c r="AE14" i="67" s="1" a="1"/>
  <c r="AE14" i="67" s="1"/>
  <c r="T15" i="69"/>
  <c r="U15" i="69" s="1"/>
  <c r="T16" i="69"/>
  <c r="U16" i="69" s="1"/>
  <c r="T16" i="64"/>
  <c r="U16" i="64" s="1"/>
  <c r="BK14" i="64" s="1" a="1"/>
  <c r="AZ22" i="69" a="1"/>
  <c r="AZ24" i="69" s="1"/>
  <c r="BA22" i="69" a="1"/>
  <c r="BC22" i="69" a="1"/>
  <c r="BB22" i="69" a="1"/>
  <c r="T14" i="62"/>
  <c r="U14" i="62" s="1"/>
  <c r="T17" i="62"/>
  <c r="U17" i="62" s="1"/>
  <c r="AE15" i="65" a="1"/>
  <c r="AE15" i="65" s="1"/>
  <c r="AA17" i="65" a="1"/>
  <c r="AA17" i="65" s="1"/>
  <c r="AA14" i="65" a="1"/>
  <c r="AA14" i="65" s="1"/>
  <c r="BK14" i="65" a="1"/>
  <c r="BK16" i="65" s="1"/>
  <c r="W14" i="65" a="1"/>
  <c r="W14" i="65" s="1"/>
  <c r="AA16" i="65" a="1"/>
  <c r="AA16" i="65" s="1"/>
  <c r="AE17" i="65" a="1"/>
  <c r="AE17" i="65" s="1"/>
  <c r="AE16" i="65" a="1"/>
  <c r="AE16" i="65" s="1"/>
  <c r="W15" i="65" a="1"/>
  <c r="W15" i="65" s="1"/>
  <c r="AE14" i="65" a="1"/>
  <c r="AE14" i="65" s="1"/>
  <c r="AA15" i="65" a="1"/>
  <c r="AA15" i="65" s="1"/>
  <c r="W17" i="65" a="1"/>
  <c r="W17" i="65" s="1"/>
  <c r="W16" i="65" a="1"/>
  <c r="W16" i="65" s="1"/>
  <c r="AE15" i="71" a="1"/>
  <c r="AE15" i="71" s="1"/>
  <c r="W14" i="71" a="1"/>
  <c r="W14" i="71" s="1"/>
  <c r="AA16" i="71" a="1"/>
  <c r="AA16" i="71" s="1"/>
  <c r="W15" i="71" a="1"/>
  <c r="W15" i="71" s="1"/>
  <c r="AE14" i="71" a="1"/>
  <c r="AE14" i="71" s="1"/>
  <c r="AE16" i="71" a="1"/>
  <c r="AE16" i="71" s="1"/>
  <c r="W16" i="71" a="1"/>
  <c r="W16" i="71" s="1"/>
  <c r="AA17" i="71" a="1"/>
  <c r="AA17" i="71" s="1"/>
  <c r="BK14" i="71" a="1"/>
  <c r="AE17" i="71" a="1"/>
  <c r="AE17" i="71" s="1"/>
  <c r="AA14" i="71" a="1"/>
  <c r="AA14" i="71" s="1"/>
  <c r="AA15" i="71" a="1"/>
  <c r="AA15" i="71" s="1"/>
  <c r="W17" i="71" a="1"/>
  <c r="W17" i="71" s="1"/>
  <c r="AE17" i="61" a="1"/>
  <c r="AE17" i="61" s="1"/>
  <c r="W17" i="61" a="1"/>
  <c r="W17" i="61" s="1"/>
  <c r="W14" i="61" a="1"/>
  <c r="W14" i="61" s="1"/>
  <c r="AA16" i="61" a="1"/>
  <c r="AA16" i="61" s="1"/>
  <c r="W15" i="61" a="1"/>
  <c r="W15" i="61" s="1"/>
  <c r="AE16" i="61" a="1"/>
  <c r="AE16" i="61" s="1"/>
  <c r="AA14" i="61" a="1"/>
  <c r="AA14" i="61" s="1"/>
  <c r="BK14" i="61" a="1"/>
  <c r="AE14" i="61" a="1"/>
  <c r="AE14" i="61" s="1"/>
  <c r="W16" i="61" a="1"/>
  <c r="W16" i="61" s="1"/>
  <c r="AA15" i="61" a="1"/>
  <c r="AA15" i="61" s="1"/>
  <c r="AA17" i="61" a="1"/>
  <c r="AA17" i="61" s="1"/>
  <c r="AE15" i="61" a="1"/>
  <c r="AE15" i="61" s="1"/>
  <c r="AA15" i="68" a="1"/>
  <c r="AA15" i="68" s="1"/>
  <c r="AE15" i="68" a="1"/>
  <c r="AE15" i="68" s="1"/>
  <c r="AA14" i="68" a="1"/>
  <c r="AA14" i="68" s="1"/>
  <c r="AA16" i="68" a="1"/>
  <c r="AA16" i="68" s="1"/>
  <c r="AE14" i="68" a="1"/>
  <c r="AE14" i="68" s="1"/>
  <c r="AE16" i="68" a="1"/>
  <c r="AE16" i="68" s="1"/>
  <c r="AA17" i="68" a="1"/>
  <c r="AA17" i="68" s="1"/>
  <c r="AE17" i="68" a="1"/>
  <c r="AE17" i="68" s="1"/>
  <c r="W14" i="68" a="1"/>
  <c r="W14" i="68" s="1"/>
  <c r="W15" i="68" a="1"/>
  <c r="W15" i="68" s="1"/>
  <c r="W16" i="68" a="1"/>
  <c r="W16" i="68" s="1"/>
  <c r="W17" i="68" a="1"/>
  <c r="W17" i="68" s="1"/>
  <c r="BK14" i="68" a="1"/>
  <c r="AA14" i="63" a="1"/>
  <c r="AA14" i="63" s="1"/>
  <c r="AE14" i="63" a="1"/>
  <c r="AE14" i="63" s="1"/>
  <c r="AA16" i="63" a="1"/>
  <c r="AA16" i="63" s="1"/>
  <c r="AA15" i="63" a="1"/>
  <c r="AA15" i="63" s="1"/>
  <c r="AE16" i="63" a="1"/>
  <c r="AE16" i="63" s="1"/>
  <c r="AE15" i="63" a="1"/>
  <c r="AE15" i="63" s="1"/>
  <c r="AE17" i="63" a="1"/>
  <c r="AE17" i="63" s="1"/>
  <c r="AA17" i="63" a="1"/>
  <c r="AA17" i="63" s="1"/>
  <c r="W15" i="63" a="1"/>
  <c r="W15" i="63" s="1"/>
  <c r="W16" i="63" a="1"/>
  <c r="W16" i="63" s="1"/>
  <c r="W17" i="63" a="1"/>
  <c r="W17" i="63" s="1"/>
  <c r="W14" i="63" a="1"/>
  <c r="W14" i="63" s="1"/>
  <c r="BK14" i="63" a="1"/>
  <c r="AA16" i="72" a="1"/>
  <c r="AA16" i="72" s="1"/>
  <c r="AE16" i="72" a="1"/>
  <c r="AE16" i="72" s="1"/>
  <c r="AA14" i="72" a="1"/>
  <c r="AA14" i="72" s="1"/>
  <c r="AE14" i="72" a="1"/>
  <c r="AE14" i="72" s="1"/>
  <c r="AA15" i="72" a="1"/>
  <c r="AA15" i="72" s="1"/>
  <c r="AE15" i="72" a="1"/>
  <c r="AE15" i="72" s="1"/>
  <c r="W15" i="72" a="1"/>
  <c r="W15" i="72" s="1"/>
  <c r="W14" i="72" a="1"/>
  <c r="W14" i="72" s="1"/>
  <c r="W16" i="72" a="1"/>
  <c r="W16" i="72" s="1"/>
  <c r="W17" i="72" a="1"/>
  <c r="W17" i="72" s="1"/>
  <c r="AA17" i="72" a="1"/>
  <c r="AA17" i="72" s="1"/>
  <c r="AE17" i="72" a="1"/>
  <c r="AE17" i="72" s="1"/>
  <c r="BK14" i="72" a="1"/>
  <c r="BB22" i="66"/>
  <c r="BB25" i="66"/>
  <c r="BC22" i="66"/>
  <c r="BC25" i="66"/>
  <c r="AA15" i="70" a="1"/>
  <c r="AA15" i="70" s="1"/>
  <c r="AE15" i="70" a="1"/>
  <c r="AE15" i="70" s="1"/>
  <c r="AA17" i="70" a="1"/>
  <c r="AA17" i="70" s="1"/>
  <c r="AE17" i="70" a="1"/>
  <c r="AE17" i="70" s="1"/>
  <c r="AA16" i="70" a="1"/>
  <c r="AA16" i="70" s="1"/>
  <c r="AE16" i="70" a="1"/>
  <c r="AE16" i="70" s="1"/>
  <c r="W15" i="70" a="1"/>
  <c r="W15" i="70" s="1"/>
  <c r="AE14" i="70" a="1"/>
  <c r="AE14" i="70" s="1"/>
  <c r="W17" i="70" a="1"/>
  <c r="W17" i="70" s="1"/>
  <c r="W16" i="70" a="1"/>
  <c r="W16" i="70" s="1"/>
  <c r="W14" i="70" a="1"/>
  <c r="W14" i="70" s="1"/>
  <c r="AA14" i="70" a="1"/>
  <c r="AA14" i="70" s="1"/>
  <c r="BK14" i="70" a="1"/>
  <c r="BA23" i="66"/>
  <c r="BA25" i="66"/>
  <c r="BA22" i="66"/>
  <c r="AA14" i="66" a="1"/>
  <c r="AA14" i="66" s="1"/>
  <c r="AE14" i="66" a="1"/>
  <c r="AE14" i="66" s="1"/>
  <c r="W15" i="66" a="1"/>
  <c r="W15" i="66" s="1"/>
  <c r="AA15" i="66" a="1"/>
  <c r="AA15" i="66" s="1"/>
  <c r="AE15" i="66" a="1"/>
  <c r="AE15" i="66" s="1"/>
  <c r="W14" i="66" a="1"/>
  <c r="W14" i="66" s="1"/>
  <c r="W17" i="66" a="1"/>
  <c r="W17" i="66" s="1"/>
  <c r="W16" i="66" a="1"/>
  <c r="W16" i="66" s="1"/>
  <c r="AE17" i="66" a="1"/>
  <c r="AE17" i="66" s="1"/>
  <c r="AE16" i="66" a="1"/>
  <c r="AE16" i="66" s="1"/>
  <c r="AA17" i="66" a="1"/>
  <c r="AA17" i="66" s="1"/>
  <c r="AA16" i="66" a="1"/>
  <c r="AA16" i="66" s="1"/>
  <c r="BK14" i="66" a="1"/>
  <c r="AZ24" i="66" l="1"/>
  <c r="AZ23" i="66"/>
  <c r="BC24" i="66"/>
  <c r="BB24" i="66"/>
  <c r="AZ25" i="66"/>
  <c r="AE14" i="64" a="1"/>
  <c r="AE14" i="64" s="1"/>
  <c r="AA17" i="64" a="1"/>
  <c r="AA17" i="64" s="1"/>
  <c r="BK15" i="65"/>
  <c r="W14" i="67" a="1"/>
  <c r="W14" i="67" s="1"/>
  <c r="AA14" i="67" a="1"/>
  <c r="AA14" i="67" s="1"/>
  <c r="W15" i="67" a="1"/>
  <c r="W15" i="67" s="1"/>
  <c r="AE16" i="67" a="1"/>
  <c r="AE16" i="67" s="1"/>
  <c r="AE15" i="64" a="1"/>
  <c r="AE15" i="64" s="1"/>
  <c r="AA14" i="64" a="1"/>
  <c r="AA14" i="64" s="1"/>
  <c r="W17" i="69" a="1"/>
  <c r="W17" i="69" s="1"/>
  <c r="AA16" i="67" a="1"/>
  <c r="AA16" i="67" s="1"/>
  <c r="BK14" i="67" a="1"/>
  <c r="BK16" i="67" s="1"/>
  <c r="AA15" i="67" a="1"/>
  <c r="AA15" i="67" s="1"/>
  <c r="W16" i="67" a="1"/>
  <c r="W16" i="67" s="1"/>
  <c r="AE17" i="67" a="1"/>
  <c r="AE17" i="67" s="1"/>
  <c r="AE15" i="67" a="1"/>
  <c r="AE15" i="67" s="1"/>
  <c r="W17" i="67" a="1"/>
  <c r="W17" i="67" s="1"/>
  <c r="AA17" i="67" a="1"/>
  <c r="AA17" i="67" s="1"/>
  <c r="BK14" i="69" a="1"/>
  <c r="BK15" i="69" s="1"/>
  <c r="AA17" i="69" a="1"/>
  <c r="AA17" i="69" s="1"/>
  <c r="W16" i="64" a="1"/>
  <c r="W16" i="64" s="1"/>
  <c r="W16" i="69" a="1"/>
  <c r="W16" i="69" s="1"/>
  <c r="AE14" i="69" a="1"/>
  <c r="AE14" i="69" s="1"/>
  <c r="AA15" i="69" a="1"/>
  <c r="AA15" i="69" s="1"/>
  <c r="AA14" i="69" a="1"/>
  <c r="AA14" i="69" s="1"/>
  <c r="W14" i="69" a="1"/>
  <c r="W14" i="69" s="1"/>
  <c r="BK17" i="65"/>
  <c r="BK14" i="65"/>
  <c r="W15" i="64" a="1"/>
  <c r="W15" i="64" s="1"/>
  <c r="AE16" i="64" a="1"/>
  <c r="AE16" i="64" s="1"/>
  <c r="W15" i="69" a="1"/>
  <c r="W15" i="69" s="1"/>
  <c r="AA15" i="64" a="1"/>
  <c r="AA15" i="64" s="1"/>
  <c r="AE17" i="64" a="1"/>
  <c r="AE17" i="64" s="1"/>
  <c r="AA16" i="64" a="1"/>
  <c r="AA16" i="64" s="1"/>
  <c r="AE15" i="69" a="1"/>
  <c r="AE15" i="69" s="1"/>
  <c r="AE16" i="69" a="1"/>
  <c r="AE16" i="69" s="1"/>
  <c r="W17" i="64" a="1"/>
  <c r="W17" i="64" s="1"/>
  <c r="AE17" i="69" a="1"/>
  <c r="AE17" i="69" s="1"/>
  <c r="W14" i="64" a="1"/>
  <c r="W14" i="64" s="1"/>
  <c r="BK15" i="64"/>
  <c r="BK16" i="64"/>
  <c r="BK17" i="64"/>
  <c r="BK14" i="64"/>
  <c r="AA16" i="69" a="1"/>
  <c r="AA16" i="69" s="1"/>
  <c r="AA17" i="62" a="1"/>
  <c r="AA17" i="62" s="1"/>
  <c r="AZ22" i="69"/>
  <c r="AZ23" i="69"/>
  <c r="W17" i="62" a="1"/>
  <c r="W17" i="62" s="1"/>
  <c r="AZ25" i="69"/>
  <c r="AA15" i="62" a="1"/>
  <c r="AA15" i="62" s="1"/>
  <c r="BK14" i="62" a="1"/>
  <c r="AE15" i="62" a="1"/>
  <c r="AE15" i="62" s="1"/>
  <c r="AA16" i="62" a="1"/>
  <c r="AA16" i="62" s="1"/>
  <c r="AA14" i="62" a="1"/>
  <c r="AA14" i="62" s="1"/>
  <c r="AE16" i="62" a="1"/>
  <c r="AE16" i="62" s="1"/>
  <c r="W14" i="62" a="1"/>
  <c r="W14" i="62" s="1"/>
  <c r="W15" i="62" a="1"/>
  <c r="W15" i="62" s="1"/>
  <c r="W16" i="62" a="1"/>
  <c r="W16" i="62" s="1"/>
  <c r="AE17" i="62" a="1"/>
  <c r="AE17" i="62" s="1"/>
  <c r="BC22" i="69"/>
  <c r="BC25" i="69"/>
  <c r="BC24" i="69"/>
  <c r="BC23" i="69"/>
  <c r="BK14" i="67"/>
  <c r="AE14" i="62" a="1"/>
  <c r="AE14" i="62" s="1"/>
  <c r="BA22" i="69"/>
  <c r="BA24" i="69"/>
  <c r="BA25" i="69"/>
  <c r="BA23" i="69"/>
  <c r="BB22" i="69"/>
  <c r="BB23" i="69"/>
  <c r="BB24" i="69"/>
  <c r="BB25" i="69"/>
  <c r="X16" i="65"/>
  <c r="Y16" i="65" s="1"/>
  <c r="AB16" i="65" s="1"/>
  <c r="AC16" i="65" s="1"/>
  <c r="X15" i="65"/>
  <c r="Y15" i="65" s="1"/>
  <c r="AB15" i="65" s="1"/>
  <c r="AC15" i="65" s="1"/>
  <c r="X14" i="65"/>
  <c r="Y14" i="65" s="1"/>
  <c r="AB14" i="65" s="1"/>
  <c r="X17" i="65"/>
  <c r="Y17" i="65" s="1"/>
  <c r="AB17" i="65" s="1"/>
  <c r="AC17" i="65" s="1"/>
  <c r="AF17" i="65" s="1"/>
  <c r="AG17" i="65" s="1"/>
  <c r="X17" i="68"/>
  <c r="Y17" i="68" s="1"/>
  <c r="X17" i="71"/>
  <c r="Y17" i="71" s="1"/>
  <c r="X16" i="71"/>
  <c r="Y16" i="71" s="1"/>
  <c r="X15" i="71"/>
  <c r="Y15" i="71" s="1"/>
  <c r="X14" i="71"/>
  <c r="Y14" i="71" s="1"/>
  <c r="BK17" i="71"/>
  <c r="BK15" i="71"/>
  <c r="BK16" i="71"/>
  <c r="BK14" i="71"/>
  <c r="X17" i="63"/>
  <c r="Y17" i="63" s="1"/>
  <c r="AB17" i="63" s="1"/>
  <c r="AC17" i="63" s="1"/>
  <c r="X14" i="61"/>
  <c r="Y14" i="61" s="1"/>
  <c r="X16" i="61"/>
  <c r="Y16" i="61" s="1"/>
  <c r="X17" i="61"/>
  <c r="Y17" i="61" s="1"/>
  <c r="X16" i="70"/>
  <c r="Y16" i="70" s="1"/>
  <c r="X16" i="68"/>
  <c r="Y16" i="68" s="1"/>
  <c r="BK14" i="61"/>
  <c r="BK15" i="61"/>
  <c r="BK16" i="61"/>
  <c r="BK17" i="61"/>
  <c r="X15" i="72"/>
  <c r="Y15" i="72" s="1"/>
  <c r="AB15" i="72" s="1"/>
  <c r="AC15" i="72" s="1"/>
  <c r="X14" i="66"/>
  <c r="Y14" i="66" s="1"/>
  <c r="AB14" i="66" s="1"/>
  <c r="AC14" i="66" s="1"/>
  <c r="X15" i="61"/>
  <c r="Y15" i="61" s="1"/>
  <c r="X16" i="66"/>
  <c r="Y16" i="66" s="1"/>
  <c r="AB16" i="66" s="1"/>
  <c r="X16" i="72"/>
  <c r="Y16" i="72" s="1"/>
  <c r="X15" i="63"/>
  <c r="Y15" i="63" s="1"/>
  <c r="AB15" i="63" s="1"/>
  <c r="BK15" i="68"/>
  <c r="BK16" i="68"/>
  <c r="BK17" i="68"/>
  <c r="BK14" i="68"/>
  <c r="X15" i="70"/>
  <c r="Y15" i="70" s="1"/>
  <c r="X14" i="72"/>
  <c r="Y14" i="72" s="1"/>
  <c r="BK17" i="70"/>
  <c r="BK14" i="70"/>
  <c r="BK15" i="70"/>
  <c r="BK16" i="70"/>
  <c r="X15" i="68"/>
  <c r="Y15" i="68" s="1"/>
  <c r="BE21" i="66" a="1"/>
  <c r="BK14" i="72"/>
  <c r="BK15" i="72"/>
  <c r="BK17" i="72"/>
  <c r="BK16" i="72"/>
  <c r="BK14" i="63"/>
  <c r="BK15" i="63"/>
  <c r="BK16" i="63"/>
  <c r="BK17" i="63"/>
  <c r="X14" i="68"/>
  <c r="Y14" i="68" s="1"/>
  <c r="X14" i="70"/>
  <c r="Y14" i="70" s="1"/>
  <c r="X14" i="63"/>
  <c r="Y14" i="63" s="1"/>
  <c r="X15" i="66"/>
  <c r="Y15" i="66" s="1"/>
  <c r="AB15" i="66" s="1"/>
  <c r="BK14" i="66"/>
  <c r="BK16" i="66"/>
  <c r="BK17" i="66"/>
  <c r="BK15" i="66"/>
  <c r="X17" i="66"/>
  <c r="Y17" i="66" s="1"/>
  <c r="AB17" i="66" s="1"/>
  <c r="X17" i="70"/>
  <c r="Y17" i="70" s="1"/>
  <c r="X17" i="72"/>
  <c r="Y17" i="72" s="1"/>
  <c r="X16" i="63"/>
  <c r="Y16" i="63" s="1"/>
  <c r="AB16" i="63" s="1"/>
  <c r="X17" i="67" l="1"/>
  <c r="Y17" i="67" s="1"/>
  <c r="AB17" i="67" s="1"/>
  <c r="AC17" i="67" s="1"/>
  <c r="X14" i="67"/>
  <c r="Y14" i="67" s="1"/>
  <c r="AB14" i="67" s="1"/>
  <c r="BX14" i="65" a="1"/>
  <c r="BX14" i="65" s="1"/>
  <c r="BZ7" i="65" s="1"/>
  <c r="BK17" i="67"/>
  <c r="BK15" i="67"/>
  <c r="BL15" i="65" a="1"/>
  <c r="BL15" i="65" s="1"/>
  <c r="BJ14" i="65" s="1"/>
  <c r="BL14" i="65" s="1"/>
  <c r="BN5" i="65" s="1"/>
  <c r="BK14" i="69"/>
  <c r="BK16" i="69"/>
  <c r="X15" i="67"/>
  <c r="Y15" i="67" s="1"/>
  <c r="AB15" i="67" s="1"/>
  <c r="AC15" i="67" s="1"/>
  <c r="AF15" i="67" s="1"/>
  <c r="AG15" i="67" s="1"/>
  <c r="X16" i="67"/>
  <c r="Y16" i="67" s="1"/>
  <c r="AB16" i="67" s="1"/>
  <c r="AC16" i="67" s="1"/>
  <c r="AF16" i="67" s="1"/>
  <c r="AG16" i="67" s="1"/>
  <c r="X14" i="64"/>
  <c r="Y14" i="64" s="1"/>
  <c r="AB14" i="64" s="1"/>
  <c r="AC14" i="64" s="1"/>
  <c r="BK17" i="69"/>
  <c r="X16" i="69"/>
  <c r="Y16" i="69" s="1"/>
  <c r="AB16" i="69" s="1"/>
  <c r="AC16" i="69" s="1"/>
  <c r="AF16" i="69" s="1"/>
  <c r="AG16" i="69" s="1"/>
  <c r="X17" i="69"/>
  <c r="Y17" i="69" s="1"/>
  <c r="AB17" i="69" s="1"/>
  <c r="AC17" i="69" s="1"/>
  <c r="AF17" i="69" s="1"/>
  <c r="AG17" i="69" s="1"/>
  <c r="X15" i="69"/>
  <c r="Y15" i="69" s="1"/>
  <c r="AB15" i="69" s="1"/>
  <c r="AC15" i="69" s="1"/>
  <c r="AF15" i="69" s="1"/>
  <c r="AG15" i="69" s="1"/>
  <c r="X16" i="64"/>
  <c r="Y16" i="64" s="1"/>
  <c r="AB16" i="64" s="1"/>
  <c r="AC16" i="64" s="1"/>
  <c r="BX14" i="64" a="1"/>
  <c r="BX14" i="64" s="1"/>
  <c r="BZ6" i="64" s="1"/>
  <c r="X14" i="69"/>
  <c r="Y14" i="69" s="1"/>
  <c r="AB14" i="69" s="1"/>
  <c r="AC14" i="69" s="1"/>
  <c r="AF14" i="69" s="1"/>
  <c r="AG14" i="69" s="1"/>
  <c r="BL15" i="64" a="1"/>
  <c r="BL15" i="64" s="1"/>
  <c r="BJ14" i="64" s="1"/>
  <c r="BL14" i="64" s="1"/>
  <c r="BN7" i="64" s="1"/>
  <c r="X15" i="64"/>
  <c r="Y15" i="64" s="1"/>
  <c r="AB15" i="64" s="1"/>
  <c r="AC15" i="64" s="1"/>
  <c r="AF15" i="64" s="1"/>
  <c r="AG15" i="64" s="1"/>
  <c r="X17" i="64"/>
  <c r="Y17" i="64" s="1"/>
  <c r="AB17" i="64" s="1"/>
  <c r="AC17" i="64" s="1"/>
  <c r="X16" i="62"/>
  <c r="Y16" i="62" s="1"/>
  <c r="AB16" i="62" s="1"/>
  <c r="AC16" i="62" s="1"/>
  <c r="AF16" i="62" s="1"/>
  <c r="AG16" i="62" s="1"/>
  <c r="BE21" i="69" a="1"/>
  <c r="X15" i="62"/>
  <c r="Y15" i="62" s="1"/>
  <c r="AB15" i="62" s="1"/>
  <c r="AC15" i="62" s="1"/>
  <c r="AF15" i="62" s="1"/>
  <c r="AG15" i="62" s="1"/>
  <c r="BK15" i="62"/>
  <c r="BK14" i="62"/>
  <c r="BK16" i="62"/>
  <c r="BK17" i="62"/>
  <c r="X14" i="62"/>
  <c r="Y14" i="62" s="1"/>
  <c r="AB14" i="62" s="1"/>
  <c r="AC14" i="62" s="1"/>
  <c r="X17" i="62"/>
  <c r="Y17" i="62" s="1"/>
  <c r="AB17" i="62" s="1"/>
  <c r="AC17" i="62" s="1"/>
  <c r="AC14" i="65"/>
  <c r="AF16" i="65" s="1"/>
  <c r="AG16" i="65" s="1"/>
  <c r="AB17" i="68"/>
  <c r="AC17" i="68" s="1"/>
  <c r="AB15" i="71"/>
  <c r="AC15" i="71" s="1"/>
  <c r="AB15" i="68"/>
  <c r="AC15" i="68" s="1"/>
  <c r="AB14" i="61"/>
  <c r="AC14" i="61" s="1"/>
  <c r="AB14" i="71"/>
  <c r="AC14" i="71" s="1"/>
  <c r="AB16" i="71"/>
  <c r="AC16" i="71" s="1"/>
  <c r="BL15" i="71" a="1"/>
  <c r="BL15" i="71" s="1"/>
  <c r="BJ14" i="71" s="1"/>
  <c r="BL14" i="71" s="1"/>
  <c r="BX14" i="71" a="1"/>
  <c r="BX14" i="71" s="1"/>
  <c r="AB16" i="72"/>
  <c r="AC16" i="72" s="1"/>
  <c r="AB17" i="71"/>
  <c r="AC17" i="71" s="1"/>
  <c r="AB17" i="61"/>
  <c r="AC17" i="61" s="1"/>
  <c r="BL15" i="61" a="1"/>
  <c r="BL15" i="61" s="1"/>
  <c r="BJ14" i="61" s="1"/>
  <c r="BL14" i="61" s="1"/>
  <c r="BX14" i="61" a="1"/>
  <c r="BX14" i="61" s="1"/>
  <c r="AB16" i="61"/>
  <c r="AC16" i="61" s="1"/>
  <c r="AB15" i="70"/>
  <c r="AC15" i="70" s="1"/>
  <c r="AB15" i="61"/>
  <c r="AC15" i="61" s="1"/>
  <c r="BL15" i="70" a="1"/>
  <c r="BL15" i="70" s="1"/>
  <c r="BJ14" i="70" s="1"/>
  <c r="BL14" i="70" s="1"/>
  <c r="BX14" i="70" a="1"/>
  <c r="BX14" i="70" s="1"/>
  <c r="AC16" i="66"/>
  <c r="BL15" i="63" a="1"/>
  <c r="BL15" i="63" s="1"/>
  <c r="BJ14" i="63" s="1"/>
  <c r="BL14" i="63" s="1"/>
  <c r="BX14" i="63" a="1"/>
  <c r="BX14" i="63" s="1"/>
  <c r="BE21" i="66"/>
  <c r="BF21" i="66"/>
  <c r="BG21" i="66"/>
  <c r="BH21" i="66"/>
  <c r="AB14" i="70"/>
  <c r="AC14" i="70" s="1"/>
  <c r="AF15" i="65"/>
  <c r="AG15" i="65" s="1"/>
  <c r="AC15" i="63"/>
  <c r="BX14" i="66" a="1"/>
  <c r="BX14" i="66" s="1"/>
  <c r="BL15" i="66" a="1"/>
  <c r="BL15" i="66" s="1"/>
  <c r="BJ14" i="66" s="1"/>
  <c r="BL14" i="66" s="1"/>
  <c r="AC17" i="66"/>
  <c r="AB17" i="72"/>
  <c r="AC17" i="72" s="1"/>
  <c r="AF15" i="72" s="1"/>
  <c r="AG15" i="72" s="1"/>
  <c r="AB14" i="72"/>
  <c r="AC14" i="72" s="1"/>
  <c r="AC16" i="63"/>
  <c r="AB14" i="68"/>
  <c r="AC14" i="68" s="1"/>
  <c r="AB14" i="63"/>
  <c r="AC14" i="63" s="1"/>
  <c r="AF17" i="63" s="1"/>
  <c r="AG17" i="63" s="1"/>
  <c r="AB16" i="70"/>
  <c r="AC16" i="70" s="1"/>
  <c r="BX14" i="72" a="1"/>
  <c r="BX14" i="72" s="1"/>
  <c r="BL15" i="72" a="1"/>
  <c r="BL15" i="72" s="1"/>
  <c r="BJ14" i="72" s="1"/>
  <c r="BL14" i="72" s="1"/>
  <c r="AB16" i="68"/>
  <c r="AC16" i="68" s="1"/>
  <c r="BL15" i="68" a="1"/>
  <c r="BL15" i="68" s="1"/>
  <c r="BJ14" i="68" s="1"/>
  <c r="BL14" i="68" s="1"/>
  <c r="BX14" i="68" a="1"/>
  <c r="BX14" i="68" s="1"/>
  <c r="AC15" i="66"/>
  <c r="AB17" i="70"/>
  <c r="AC17" i="70" s="1"/>
  <c r="BN8" i="65" l="1"/>
  <c r="BZ5" i="65"/>
  <c r="BZ6" i="65"/>
  <c r="BZ8" i="65"/>
  <c r="BN6" i="65"/>
  <c r="AC14" i="67"/>
  <c r="AF14" i="67" s="1"/>
  <c r="AG14" i="67" s="1"/>
  <c r="BN7" i="65"/>
  <c r="BL15" i="67" a="1"/>
  <c r="BL15" i="67" s="1"/>
  <c r="BJ14" i="67" s="1"/>
  <c r="BL14" i="67" s="1"/>
  <c r="BN8" i="67" s="1"/>
  <c r="BX14" i="67" a="1"/>
  <c r="BX14" i="67" s="1"/>
  <c r="BZ8" i="67" s="1"/>
  <c r="BZ7" i="64"/>
  <c r="BX14" i="69" a="1"/>
  <c r="BX14" i="69" s="1"/>
  <c r="BL15" i="69" a="1"/>
  <c r="BL15" i="69" s="1"/>
  <c r="BJ14" i="69" s="1"/>
  <c r="BL14" i="69" s="1"/>
  <c r="BZ8" i="64"/>
  <c r="BZ5" i="64"/>
  <c r="BN8" i="64"/>
  <c r="BN5" i="64"/>
  <c r="BN6" i="64"/>
  <c r="AF14" i="65"/>
  <c r="AG14" i="65" s="1"/>
  <c r="AI14" i="65" s="1"/>
  <c r="AJ14" i="65" s="1"/>
  <c r="AF17" i="67"/>
  <c r="AG17" i="67" s="1"/>
  <c r="AF17" i="64"/>
  <c r="AG17" i="64" s="1"/>
  <c r="AF17" i="62"/>
  <c r="AG17" i="62" s="1"/>
  <c r="AI17" i="62" s="1"/>
  <c r="AJ17" i="62" s="1"/>
  <c r="AF14" i="62"/>
  <c r="AG14" i="62" s="1"/>
  <c r="AI14" i="62" s="1"/>
  <c r="AJ14" i="62" s="1"/>
  <c r="AF16" i="64"/>
  <c r="AG16" i="64" s="1"/>
  <c r="AF14" i="64"/>
  <c r="AG14" i="64" s="1"/>
  <c r="AI14" i="64" s="1"/>
  <c r="AJ14" i="64" s="1"/>
  <c r="BE21" i="69"/>
  <c r="BF21" i="69"/>
  <c r="BG21" i="69"/>
  <c r="BH21" i="69"/>
  <c r="BX14" i="62" a="1"/>
  <c r="BX14" i="62" s="1"/>
  <c r="BL15" i="62" a="1"/>
  <c r="BL15" i="62" s="1"/>
  <c r="BJ14" i="62" s="1"/>
  <c r="BL14" i="62" s="1"/>
  <c r="AF17" i="71"/>
  <c r="AG17" i="71" s="1"/>
  <c r="AF15" i="71"/>
  <c r="AG15" i="71" s="1"/>
  <c r="BZ6" i="71"/>
  <c r="BZ7" i="71"/>
  <c r="BZ8" i="71"/>
  <c r="BZ5" i="71"/>
  <c r="AF16" i="71"/>
  <c r="AG16" i="71" s="1"/>
  <c r="AF14" i="71"/>
  <c r="AG14" i="71" s="1"/>
  <c r="AI14" i="71" s="1"/>
  <c r="AJ14" i="71" s="1"/>
  <c r="BN5" i="71"/>
  <c r="BN8" i="71"/>
  <c r="BN7" i="71"/>
  <c r="BN6" i="71"/>
  <c r="AF15" i="61"/>
  <c r="AG15" i="61" s="1"/>
  <c r="AF14" i="61"/>
  <c r="AG14" i="61" s="1"/>
  <c r="AI15" i="67"/>
  <c r="AJ15" i="67" s="1"/>
  <c r="AF16" i="61"/>
  <c r="AG16" i="61" s="1"/>
  <c r="BZ6" i="61"/>
  <c r="BZ8" i="61"/>
  <c r="BZ5" i="61"/>
  <c r="BZ7" i="61"/>
  <c r="BN8" i="61"/>
  <c r="BN7" i="61"/>
  <c r="BN6" i="61"/>
  <c r="BN5" i="61"/>
  <c r="AF17" i="61"/>
  <c r="AG17" i="61" s="1"/>
  <c r="AF17" i="70"/>
  <c r="AG17" i="70" s="1"/>
  <c r="AI16" i="65"/>
  <c r="AJ16" i="65" s="1"/>
  <c r="AI16" i="69"/>
  <c r="AJ16" i="69" s="1"/>
  <c r="AF14" i="68"/>
  <c r="AG14" i="68" s="1"/>
  <c r="AF17" i="68"/>
  <c r="AG17" i="68" s="1"/>
  <c r="AF14" i="72"/>
  <c r="AG14" i="72" s="1"/>
  <c r="AI14" i="69"/>
  <c r="AJ14" i="69" s="1"/>
  <c r="AF14" i="63"/>
  <c r="AG14" i="63" s="1"/>
  <c r="AF17" i="72"/>
  <c r="AG17" i="72" s="1"/>
  <c r="AI15" i="65"/>
  <c r="AJ15" i="65" s="1"/>
  <c r="AI15" i="62"/>
  <c r="AJ15" i="62" s="1"/>
  <c r="AI17" i="69"/>
  <c r="AJ17" i="69" s="1"/>
  <c r="AI16" i="62"/>
  <c r="AJ16" i="62" s="1"/>
  <c r="AI17" i="63"/>
  <c r="AJ17" i="63" s="1"/>
  <c r="AF15" i="68"/>
  <c r="AG15" i="68" s="1"/>
  <c r="AF17" i="66"/>
  <c r="AG17" i="66" s="1"/>
  <c r="AF15" i="66"/>
  <c r="AG15" i="66" s="1"/>
  <c r="BZ7" i="68"/>
  <c r="BZ6" i="68"/>
  <c r="BZ5" i="68"/>
  <c r="BZ8" i="68"/>
  <c r="BN7" i="66"/>
  <c r="BN6" i="66"/>
  <c r="BN8" i="66"/>
  <c r="BN5" i="66"/>
  <c r="AF16" i="66"/>
  <c r="AG16" i="66" s="1"/>
  <c r="BN6" i="68"/>
  <c r="BN7" i="68"/>
  <c r="BN5" i="68"/>
  <c r="BN8" i="68"/>
  <c r="AF16" i="70"/>
  <c r="AG16" i="70" s="1"/>
  <c r="BZ7" i="66"/>
  <c r="BZ6" i="66"/>
  <c r="BZ8" i="66"/>
  <c r="BZ5" i="66"/>
  <c r="BZ6" i="63"/>
  <c r="BZ5" i="63"/>
  <c r="BZ8" i="63"/>
  <c r="BZ7" i="63"/>
  <c r="AI15" i="72"/>
  <c r="AJ15" i="72" s="1"/>
  <c r="BN6" i="63"/>
  <c r="BN7" i="63"/>
  <c r="BN8" i="63"/>
  <c r="BN5" i="63"/>
  <c r="AF15" i="70"/>
  <c r="AG15" i="70" s="1"/>
  <c r="AF16" i="68"/>
  <c r="AG16" i="68" s="1"/>
  <c r="AF14" i="66"/>
  <c r="AG14" i="66" s="1"/>
  <c r="AF16" i="72"/>
  <c r="AG16" i="72" s="1"/>
  <c r="AF15" i="63"/>
  <c r="AG15" i="63" s="1"/>
  <c r="BE22" i="66" a="1"/>
  <c r="BN8" i="72"/>
  <c r="BN7" i="72"/>
  <c r="BN5" i="72"/>
  <c r="BN6" i="72"/>
  <c r="AF16" i="63"/>
  <c r="AG16" i="63" s="1"/>
  <c r="AI16" i="64"/>
  <c r="AJ16" i="64" s="1"/>
  <c r="BZ8" i="70"/>
  <c r="BZ6" i="70"/>
  <c r="BZ7" i="70"/>
  <c r="BZ5" i="70"/>
  <c r="AF14" i="70"/>
  <c r="AG14" i="70" s="1"/>
  <c r="AI15" i="69"/>
  <c r="AJ15" i="69" s="1"/>
  <c r="BZ8" i="72"/>
  <c r="BZ7" i="72"/>
  <c r="BZ5" i="72"/>
  <c r="BZ6" i="72"/>
  <c r="BN5" i="70"/>
  <c r="BN6" i="70"/>
  <c r="BN8" i="70"/>
  <c r="BN7" i="70"/>
  <c r="AI17" i="65"/>
  <c r="AJ17" i="65" s="1"/>
  <c r="AI15" i="61" l="1"/>
  <c r="AJ15" i="61" s="1"/>
  <c r="AL15" i="61" s="1"/>
  <c r="AM15" i="61" s="1"/>
  <c r="AO15" i="61" s="1"/>
  <c r="AP15" i="61" s="1"/>
  <c r="BN5" i="67"/>
  <c r="BN6" i="67"/>
  <c r="BN7" i="67"/>
  <c r="BZ7" i="67"/>
  <c r="BZ6" i="67"/>
  <c r="BZ5" i="67"/>
  <c r="BN8" i="69"/>
  <c r="BN5" i="69"/>
  <c r="BN7" i="69"/>
  <c r="BN6" i="69"/>
  <c r="BZ5" i="69"/>
  <c r="BZ6" i="69"/>
  <c r="BZ8" i="69"/>
  <c r="BZ7" i="69"/>
  <c r="AI14" i="61"/>
  <c r="AJ14" i="61" s="1"/>
  <c r="AL14" i="61" s="1"/>
  <c r="AM14" i="61" s="1"/>
  <c r="AI16" i="71"/>
  <c r="AJ16" i="71" s="1"/>
  <c r="AI15" i="64"/>
  <c r="AJ15" i="64" s="1"/>
  <c r="AL15" i="64" s="1"/>
  <c r="AM15" i="64" s="1"/>
  <c r="AI17" i="64"/>
  <c r="AJ17" i="64" s="1"/>
  <c r="AL17" i="64" s="1"/>
  <c r="AM17" i="64" s="1"/>
  <c r="AI15" i="71"/>
  <c r="AJ15" i="71" s="1"/>
  <c r="AL15" i="71" s="1"/>
  <c r="AM15" i="71" s="1"/>
  <c r="AO15" i="71" s="1"/>
  <c r="AP15" i="71" s="1"/>
  <c r="AI16" i="61"/>
  <c r="AJ16" i="61" s="1"/>
  <c r="AI17" i="71"/>
  <c r="AJ17" i="71" s="1"/>
  <c r="AL17" i="71" s="1"/>
  <c r="AM17" i="71" s="1"/>
  <c r="AO17" i="71" s="1"/>
  <c r="AP17" i="71" s="1"/>
  <c r="AI17" i="67"/>
  <c r="AJ17" i="67" s="1"/>
  <c r="AI16" i="67"/>
  <c r="AJ16" i="67" s="1"/>
  <c r="AI14" i="67"/>
  <c r="AJ14" i="67" s="1"/>
  <c r="BE22" i="69" a="1"/>
  <c r="BN7" i="62"/>
  <c r="BN6" i="62"/>
  <c r="BN8" i="62"/>
  <c r="BN5" i="62"/>
  <c r="BZ6" i="62"/>
  <c r="BZ7" i="62"/>
  <c r="BZ5" i="62"/>
  <c r="BZ8" i="62"/>
  <c r="AI17" i="61"/>
  <c r="AJ17" i="61" s="1"/>
  <c r="AL15" i="67"/>
  <c r="AM15" i="67" s="1"/>
  <c r="AI16" i="66"/>
  <c r="AJ16" i="66" s="1"/>
  <c r="AI16" i="68"/>
  <c r="AJ16" i="68" s="1"/>
  <c r="AL15" i="65"/>
  <c r="AM15" i="65" s="1"/>
  <c r="AI14" i="70"/>
  <c r="AJ14" i="70" s="1"/>
  <c r="AI17" i="66"/>
  <c r="AJ17" i="66" s="1"/>
  <c r="AL15" i="62"/>
  <c r="AM15" i="62" s="1"/>
  <c r="AL15" i="69"/>
  <c r="AM15" i="69" s="1"/>
  <c r="AI15" i="70"/>
  <c r="AJ15" i="70" s="1"/>
  <c r="AL17" i="62"/>
  <c r="AM17" i="62" s="1"/>
  <c r="AI16" i="70"/>
  <c r="AJ16" i="70" s="1"/>
  <c r="AI15" i="68"/>
  <c r="AJ15" i="68" s="1"/>
  <c r="AI17" i="72"/>
  <c r="AJ17" i="72" s="1"/>
  <c r="AI14" i="63"/>
  <c r="AJ14" i="63" s="1"/>
  <c r="AI16" i="63"/>
  <c r="AJ16" i="63" s="1"/>
  <c r="AL17" i="69"/>
  <c r="AM17" i="69" s="1"/>
  <c r="AL14" i="65"/>
  <c r="AM14" i="65" s="1"/>
  <c r="AL16" i="69"/>
  <c r="AM16" i="69" s="1"/>
  <c r="AL16" i="62"/>
  <c r="AM16" i="62" s="1"/>
  <c r="AL16" i="64"/>
  <c r="AM16" i="64" s="1"/>
  <c r="AL14" i="64"/>
  <c r="AM14" i="64" s="1"/>
  <c r="AL14" i="69"/>
  <c r="AM14" i="69" s="1"/>
  <c r="AL16" i="65"/>
  <c r="AM16" i="65" s="1"/>
  <c r="AL15" i="72"/>
  <c r="AM15" i="72" s="1"/>
  <c r="AI14" i="72"/>
  <c r="AJ14" i="72" s="1"/>
  <c r="AI17" i="70"/>
  <c r="AJ17" i="70" s="1"/>
  <c r="BG22" i="66"/>
  <c r="BG24" i="66"/>
  <c r="BH22" i="66"/>
  <c r="BH24" i="66"/>
  <c r="BE23" i="66"/>
  <c r="BE25" i="66"/>
  <c r="BF23" i="66"/>
  <c r="BF25" i="66"/>
  <c r="BG23" i="66"/>
  <c r="BG25" i="66"/>
  <c r="BH23" i="66"/>
  <c r="BH25" i="66"/>
  <c r="BE22" i="66"/>
  <c r="BE24" i="66"/>
  <c r="BF22" i="66"/>
  <c r="BF24" i="66"/>
  <c r="AI17" i="68"/>
  <c r="AJ17" i="68" s="1"/>
  <c r="AI16" i="72"/>
  <c r="AJ16" i="72" s="1"/>
  <c r="AL14" i="62"/>
  <c r="AM14" i="62" s="1"/>
  <c r="AL17" i="65"/>
  <c r="AM17" i="65" s="1"/>
  <c r="AI15" i="66"/>
  <c r="AJ15" i="66" s="1"/>
  <c r="AI14" i="68"/>
  <c r="AJ14" i="68" s="1"/>
  <c r="AI14" i="66"/>
  <c r="AJ14" i="66" s="1"/>
  <c r="AI15" i="63"/>
  <c r="AJ15" i="63" s="1"/>
  <c r="AL14" i="67" l="1"/>
  <c r="AM14" i="67" s="1"/>
  <c r="AO14" i="67" s="1"/>
  <c r="AP14" i="67" s="1"/>
  <c r="AR14" i="67" s="1"/>
  <c r="AS14" i="67" s="1"/>
  <c r="G14" i="67" s="1"/>
  <c r="F14" i="67" s="1"/>
  <c r="AL16" i="61"/>
  <c r="AM16" i="61" s="1"/>
  <c r="AO16" i="61" s="1"/>
  <c r="AP16" i="61" s="1"/>
  <c r="AL16" i="71"/>
  <c r="AM16" i="71" s="1"/>
  <c r="AO16" i="71" s="1"/>
  <c r="AP16" i="71" s="1"/>
  <c r="AL17" i="67"/>
  <c r="AM17" i="67" s="1"/>
  <c r="AO17" i="67" s="1"/>
  <c r="AP17" i="67" s="1"/>
  <c r="AL14" i="71"/>
  <c r="AM14" i="71" s="1"/>
  <c r="AL16" i="67"/>
  <c r="AM16" i="67" s="1"/>
  <c r="BE25" i="69"/>
  <c r="BF23" i="69"/>
  <c r="BF22" i="69"/>
  <c r="BF25" i="69"/>
  <c r="BF24" i="69"/>
  <c r="BG22" i="69"/>
  <c r="BG23" i="69"/>
  <c r="BG25" i="69"/>
  <c r="BG24" i="69"/>
  <c r="BH22" i="69"/>
  <c r="BH23" i="69"/>
  <c r="BH24" i="69"/>
  <c r="BH25" i="69"/>
  <c r="BE23" i="69"/>
  <c r="BE22" i="69"/>
  <c r="BE24" i="69"/>
  <c r="AL17" i="61"/>
  <c r="AM17" i="61" s="1"/>
  <c r="AO14" i="61"/>
  <c r="AP14" i="61" s="1"/>
  <c r="AO15" i="67"/>
  <c r="AP15" i="67" s="1"/>
  <c r="AR15" i="67" s="1"/>
  <c r="AS15" i="67" s="1"/>
  <c r="G15" i="67" s="1"/>
  <c r="F15" i="67" s="1"/>
  <c r="AU6" i="64"/>
  <c r="AV15" i="64" s="1"/>
  <c r="AO15" i="64"/>
  <c r="AP15" i="64" s="1"/>
  <c r="AL15" i="66"/>
  <c r="AM15" i="66" s="1"/>
  <c r="AU8" i="65"/>
  <c r="AV17" i="65" s="1"/>
  <c r="AO17" i="65"/>
  <c r="AP17" i="65" s="1"/>
  <c r="AU7" i="65"/>
  <c r="AV16" i="65" s="1"/>
  <c r="AO16" i="65"/>
  <c r="AP16" i="65" s="1"/>
  <c r="AL15" i="68"/>
  <c r="AM15" i="68" s="1"/>
  <c r="AL14" i="68"/>
  <c r="AM14" i="68" s="1"/>
  <c r="AL16" i="68"/>
  <c r="AM16" i="68" s="1"/>
  <c r="AL16" i="66"/>
  <c r="AM16" i="66" s="1"/>
  <c r="AU5" i="62"/>
  <c r="AV14" i="62" s="1"/>
  <c r="AO14" i="62"/>
  <c r="AP14" i="62" s="1"/>
  <c r="AU14" i="62" a="1"/>
  <c r="AU14" i="62" s="1"/>
  <c r="AU5" i="69"/>
  <c r="AV14" i="69" s="1"/>
  <c r="AO14" i="69"/>
  <c r="AP14" i="69" s="1"/>
  <c r="AU14" i="69" a="1"/>
  <c r="AU14" i="69" s="1"/>
  <c r="AU6" i="62"/>
  <c r="AV15" i="62" s="1"/>
  <c r="AO15" i="62"/>
  <c r="AP15" i="62" s="1"/>
  <c r="AL16" i="72"/>
  <c r="AM16" i="72" s="1"/>
  <c r="AU5" i="64"/>
  <c r="AV14" i="64" s="1"/>
  <c r="AO14" i="64"/>
  <c r="AP14" i="64" s="1"/>
  <c r="AU14" i="64" a="1"/>
  <c r="AU14" i="64" s="1"/>
  <c r="AL17" i="68"/>
  <c r="AM17" i="68" s="1"/>
  <c r="AU8" i="62"/>
  <c r="AV17" i="62" s="1"/>
  <c r="AO17" i="62"/>
  <c r="AP17" i="62" s="1"/>
  <c r="AL17" i="70"/>
  <c r="AM17" i="70" s="1"/>
  <c r="AL14" i="70"/>
  <c r="AM14" i="70" s="1"/>
  <c r="AL17" i="66"/>
  <c r="AM17" i="66" s="1"/>
  <c r="AL14" i="72"/>
  <c r="AM14" i="72" s="1"/>
  <c r="AL14" i="63"/>
  <c r="AM14" i="63" s="1"/>
  <c r="AL17" i="63"/>
  <c r="AM17" i="63" s="1"/>
  <c r="AU6" i="65"/>
  <c r="AV15" i="65" s="1"/>
  <c r="AO15" i="65"/>
  <c r="AP15" i="65" s="1"/>
  <c r="AU5" i="65"/>
  <c r="AV14" i="65" s="1"/>
  <c r="AO14" i="65"/>
  <c r="AP14" i="65" s="1"/>
  <c r="AU14" i="65" a="1"/>
  <c r="AU14" i="65" s="1"/>
  <c r="AL16" i="63"/>
  <c r="AM16" i="63" s="1"/>
  <c r="AL16" i="70"/>
  <c r="AM16" i="70" s="1"/>
  <c r="AU6" i="69"/>
  <c r="AV15" i="69" s="1"/>
  <c r="AO15" i="69"/>
  <c r="AP15" i="69" s="1"/>
  <c r="AL15" i="63"/>
  <c r="AM15" i="63" s="1"/>
  <c r="AU7" i="62"/>
  <c r="AV16" i="62" s="1"/>
  <c r="AO16" i="62"/>
  <c r="AP16" i="62" s="1"/>
  <c r="AU8" i="69"/>
  <c r="AV17" i="69" s="1"/>
  <c r="AO17" i="69"/>
  <c r="AP17" i="69" s="1"/>
  <c r="AL14" i="66"/>
  <c r="AM14" i="66" s="1"/>
  <c r="AU8" i="64"/>
  <c r="AV17" i="64" s="1"/>
  <c r="AO17" i="64"/>
  <c r="AP17" i="64" s="1"/>
  <c r="AO15" i="72"/>
  <c r="AP15" i="72" s="1"/>
  <c r="AU7" i="69"/>
  <c r="AV16" i="69" s="1"/>
  <c r="AO16" i="69"/>
  <c r="AP16" i="69" s="1"/>
  <c r="AU7" i="64"/>
  <c r="AV16" i="64" s="1"/>
  <c r="AO16" i="64"/>
  <c r="AP16" i="64" s="1"/>
  <c r="AL17" i="72"/>
  <c r="AM17" i="72" s="1"/>
  <c r="AL15" i="70"/>
  <c r="AM15" i="70" s="1"/>
  <c r="AU7" i="67" l="1"/>
  <c r="AV16" i="67" s="1"/>
  <c r="AU14" i="61" a="1"/>
  <c r="AU14" i="61" s="1"/>
  <c r="C4" i="16" s="1"/>
  <c r="E4" i="16" s="1"/>
  <c r="AU8" i="67"/>
  <c r="AV17" i="67" s="1"/>
  <c r="AU5" i="67"/>
  <c r="AV14" i="67" s="1"/>
  <c r="AU6" i="67"/>
  <c r="AV15" i="67" s="1"/>
  <c r="AO16" i="67"/>
  <c r="AP16" i="67" s="1"/>
  <c r="AR16" i="67" s="1"/>
  <c r="AS16" i="67" s="1"/>
  <c r="G16" i="67" s="1"/>
  <c r="F16" i="67" s="1"/>
  <c r="AU14" i="67" a="1"/>
  <c r="AU14" i="67" s="1"/>
  <c r="C15" i="16" s="1"/>
  <c r="E15" i="16" s="1"/>
  <c r="AU6" i="71"/>
  <c r="AV15" i="71" s="1"/>
  <c r="AU8" i="71"/>
  <c r="AV17" i="71" s="1"/>
  <c r="AU7" i="71"/>
  <c r="AV16" i="71" s="1"/>
  <c r="AU5" i="71"/>
  <c r="AV14" i="71" s="1"/>
  <c r="AO14" i="71"/>
  <c r="AP14" i="71" s="1"/>
  <c r="AU14" i="71" a="1"/>
  <c r="AU14" i="71" s="1"/>
  <c r="AO17" i="61"/>
  <c r="AP17" i="61" s="1"/>
  <c r="AR14" i="61" s="1"/>
  <c r="AS14" i="61" s="1"/>
  <c r="G14" i="61" s="1"/>
  <c r="F14" i="61" s="1"/>
  <c r="AU8" i="61"/>
  <c r="AV17" i="61" s="1"/>
  <c r="AU7" i="61"/>
  <c r="AV16" i="61" s="1"/>
  <c r="AU6" i="61"/>
  <c r="AV15" i="61" s="1"/>
  <c r="AU5" i="61"/>
  <c r="AV14" i="61" s="1"/>
  <c r="AR17" i="67"/>
  <c r="AS17" i="67" s="1"/>
  <c r="G17" i="67" s="1"/>
  <c r="F17" i="67" s="1"/>
  <c r="AU7" i="63"/>
  <c r="AV16" i="63" s="1"/>
  <c r="AO16" i="63"/>
  <c r="AP16" i="63" s="1"/>
  <c r="AR16" i="65"/>
  <c r="AS16" i="65" s="1"/>
  <c r="G16" i="65" s="1"/>
  <c r="F16" i="65" s="1"/>
  <c r="AU8" i="70"/>
  <c r="AV17" i="70" s="1"/>
  <c r="AO17" i="70"/>
  <c r="AP17" i="70" s="1"/>
  <c r="AR14" i="62"/>
  <c r="AS14" i="62" s="1"/>
  <c r="G14" i="62" s="1"/>
  <c r="F14" i="62" s="1"/>
  <c r="AR17" i="69"/>
  <c r="AS17" i="69" s="1"/>
  <c r="G17" i="69" s="1"/>
  <c r="F17" i="69" s="1"/>
  <c r="AR15" i="62"/>
  <c r="AS15" i="62" s="1"/>
  <c r="G15" i="62" s="1"/>
  <c r="F15" i="62" s="1"/>
  <c r="AU7" i="66"/>
  <c r="AV16" i="66" s="1"/>
  <c r="AO16" i="66"/>
  <c r="AP16" i="66" s="1"/>
  <c r="AU6" i="70"/>
  <c r="AV15" i="70" s="1"/>
  <c r="AO15" i="70"/>
  <c r="AP15" i="70" s="1"/>
  <c r="AU8" i="72"/>
  <c r="AV17" i="72" s="1"/>
  <c r="AO17" i="72"/>
  <c r="AP17" i="72" s="1"/>
  <c r="AR15" i="69"/>
  <c r="AS15" i="69" s="1"/>
  <c r="G15" i="69" s="1"/>
  <c r="F15" i="69" s="1"/>
  <c r="AU5" i="63"/>
  <c r="AV14" i="63" s="1"/>
  <c r="AO14" i="63"/>
  <c r="AP14" i="63" s="1"/>
  <c r="AU14" i="63" a="1"/>
  <c r="AU14" i="63" s="1"/>
  <c r="AU8" i="68"/>
  <c r="AV17" i="68" s="1"/>
  <c r="AO17" i="68"/>
  <c r="AP17" i="68" s="1"/>
  <c r="AU6" i="66"/>
  <c r="AV15" i="66" s="1"/>
  <c r="AO15" i="66"/>
  <c r="AP15" i="66" s="1"/>
  <c r="AU5" i="72"/>
  <c r="AV14" i="72" s="1"/>
  <c r="AO14" i="72"/>
  <c r="AP14" i="72" s="1"/>
  <c r="AU14" i="72" a="1"/>
  <c r="AU14" i="72" s="1"/>
  <c r="AU6" i="72"/>
  <c r="AV15" i="72" s="1"/>
  <c r="AR14" i="69"/>
  <c r="AS14" i="69" s="1"/>
  <c r="G14" i="69" s="1"/>
  <c r="F14" i="69" s="1"/>
  <c r="AU5" i="68"/>
  <c r="AV14" i="68" s="1"/>
  <c r="AO14" i="68"/>
  <c r="AP14" i="68" s="1"/>
  <c r="AU14" i="68" a="1"/>
  <c r="AU14" i="68" s="1"/>
  <c r="AR15" i="64"/>
  <c r="AS15" i="64" s="1"/>
  <c r="G15" i="64" s="1"/>
  <c r="F15" i="64" s="1"/>
  <c r="AR16" i="64"/>
  <c r="AS16" i="64" s="1"/>
  <c r="G16" i="64" s="1"/>
  <c r="F16" i="64" s="1"/>
  <c r="AR17" i="64"/>
  <c r="AS17" i="64" s="1"/>
  <c r="G17" i="64" s="1"/>
  <c r="F17" i="64" s="1"/>
  <c r="AR14" i="64"/>
  <c r="AS14" i="64" s="1"/>
  <c r="G14" i="64" s="1"/>
  <c r="F14" i="64" s="1"/>
  <c r="AU6" i="68"/>
  <c r="AV15" i="68" s="1"/>
  <c r="AO15" i="68"/>
  <c r="AP15" i="68" s="1"/>
  <c r="E8" i="33"/>
  <c r="C5" i="16"/>
  <c r="AU6" i="63"/>
  <c r="AV15" i="63" s="1"/>
  <c r="AO15" i="63"/>
  <c r="AP15" i="63" s="1"/>
  <c r="AU8" i="66"/>
  <c r="AV17" i="66" s="1"/>
  <c r="AO17" i="66"/>
  <c r="AP17" i="66" s="1"/>
  <c r="AU5" i="70"/>
  <c r="AV14" i="70" s="1"/>
  <c r="AO14" i="70"/>
  <c r="AP14" i="70" s="1"/>
  <c r="AU14" i="70" a="1"/>
  <c r="AU14" i="70" s="1"/>
  <c r="C10" i="16"/>
  <c r="E10" i="16" s="1"/>
  <c r="T8" i="33"/>
  <c r="C12" i="16"/>
  <c r="E12" i="16" s="1"/>
  <c r="Z8" i="33"/>
  <c r="AR15" i="65"/>
  <c r="AS15" i="65" s="1"/>
  <c r="G15" i="65" s="1"/>
  <c r="F15" i="65" s="1"/>
  <c r="AU8" i="63"/>
  <c r="AV17" i="63" s="1"/>
  <c r="AO17" i="63"/>
  <c r="AP17" i="63" s="1"/>
  <c r="W8" i="33"/>
  <c r="C11" i="16"/>
  <c r="E11" i="16" s="1"/>
  <c r="AU7" i="68"/>
  <c r="AV16" i="68" s="1"/>
  <c r="AO16" i="68"/>
  <c r="AP16" i="68" s="1"/>
  <c r="AR16" i="62"/>
  <c r="AS16" i="62" s="1"/>
  <c r="G16" i="62" s="1"/>
  <c r="F16" i="62" s="1"/>
  <c r="AR14" i="65"/>
  <c r="AS14" i="65" s="1"/>
  <c r="G14" i="65" s="1"/>
  <c r="F14" i="65" s="1"/>
  <c r="AR16" i="69"/>
  <c r="AS16" i="69" s="1"/>
  <c r="G16" i="69" s="1"/>
  <c r="F16" i="69" s="1"/>
  <c r="AU5" i="66"/>
  <c r="AV14" i="66" s="1"/>
  <c r="AO14" i="66"/>
  <c r="AP14" i="66" s="1"/>
  <c r="AU14" i="66" a="1"/>
  <c r="AU14" i="66" s="1"/>
  <c r="AU7" i="70"/>
  <c r="AV16" i="70" s="1"/>
  <c r="AO16" i="70"/>
  <c r="AP16" i="70" s="1"/>
  <c r="AR17" i="62"/>
  <c r="AS17" i="62" s="1"/>
  <c r="G17" i="62" s="1"/>
  <c r="F17" i="62" s="1"/>
  <c r="AU7" i="72"/>
  <c r="AV16" i="72" s="1"/>
  <c r="AO16" i="72"/>
  <c r="AP16" i="72" s="1"/>
  <c r="AR17" i="65"/>
  <c r="AS17" i="65" s="1"/>
  <c r="G17" i="65" s="1"/>
  <c r="F17" i="65" s="1"/>
  <c r="B8" i="33" l="1"/>
  <c r="AI8" i="33"/>
  <c r="AR14" i="71"/>
  <c r="AS14" i="71" s="1"/>
  <c r="G14" i="71" s="1"/>
  <c r="F14" i="71" s="1"/>
  <c r="AR15" i="71"/>
  <c r="AS15" i="71" s="1"/>
  <c r="G15" i="71" s="1"/>
  <c r="F15" i="71" s="1"/>
  <c r="AR17" i="71"/>
  <c r="AS17" i="71" s="1"/>
  <c r="G17" i="71" s="1"/>
  <c r="F17" i="71" s="1"/>
  <c r="AR16" i="71"/>
  <c r="AS16" i="71" s="1"/>
  <c r="G16" i="71" s="1"/>
  <c r="F16" i="71" s="1"/>
  <c r="Q8" i="33"/>
  <c r="C9" i="16"/>
  <c r="E9" i="16" s="1"/>
  <c r="F9" i="16" s="1"/>
  <c r="AY23" i="71"/>
  <c r="E17" i="62"/>
  <c r="E16" i="69"/>
  <c r="AY16" i="69" s="1"/>
  <c r="E14" i="62"/>
  <c r="AY22" i="62" s="1"/>
  <c r="E16" i="62"/>
  <c r="E15" i="62"/>
  <c r="E14" i="69"/>
  <c r="E15" i="69"/>
  <c r="AY15" i="69" s="1"/>
  <c r="E17" i="69"/>
  <c r="AY17" i="69" s="1"/>
  <c r="E16" i="67"/>
  <c r="AY16" i="67" s="1"/>
  <c r="E15" i="65"/>
  <c r="E15" i="67"/>
  <c r="AY15" i="67" s="1"/>
  <c r="E14" i="67"/>
  <c r="E16" i="64"/>
  <c r="F4" i="16"/>
  <c r="E17" i="67"/>
  <c r="F15" i="16"/>
  <c r="AR17" i="61"/>
  <c r="AS17" i="61" s="1"/>
  <c r="G17" i="61" s="1"/>
  <c r="F17" i="61" s="1"/>
  <c r="AR16" i="61"/>
  <c r="AS16" i="61" s="1"/>
  <c r="G16" i="61" s="1"/>
  <c r="F16" i="61" s="1"/>
  <c r="AR15" i="61"/>
  <c r="AS15" i="61" s="1"/>
  <c r="G15" i="61" s="1"/>
  <c r="F15" i="61" s="1"/>
  <c r="AR14" i="66"/>
  <c r="AS14" i="66" s="1"/>
  <c r="G14" i="66" s="1"/>
  <c r="F14" i="66" s="1"/>
  <c r="AR14" i="68"/>
  <c r="AS14" i="68" s="1"/>
  <c r="G14" i="68" s="1"/>
  <c r="F14" i="68" s="1"/>
  <c r="AR17" i="72"/>
  <c r="AS17" i="72" s="1"/>
  <c r="G17" i="72" s="1"/>
  <c r="F17" i="72" s="1"/>
  <c r="AR17" i="68"/>
  <c r="AS17" i="68" s="1"/>
  <c r="G17" i="68" s="1"/>
  <c r="F17" i="68" s="1"/>
  <c r="AR15" i="70"/>
  <c r="AS15" i="70" s="1"/>
  <c r="G15" i="70" s="1"/>
  <c r="F15" i="70" s="1"/>
  <c r="AR17" i="70"/>
  <c r="AS17" i="70" s="1"/>
  <c r="G17" i="70" s="1"/>
  <c r="F17" i="70" s="1"/>
  <c r="AR14" i="72"/>
  <c r="AS14" i="72" s="1"/>
  <c r="G14" i="72" s="1"/>
  <c r="F14" i="72" s="1"/>
  <c r="AR15" i="72"/>
  <c r="AS15" i="72" s="1"/>
  <c r="G15" i="72" s="1"/>
  <c r="F15" i="72" s="1"/>
  <c r="AR14" i="63"/>
  <c r="AS14" i="63" s="1"/>
  <c r="G14" i="63" s="1"/>
  <c r="F14" i="63" s="1"/>
  <c r="E14" i="65"/>
  <c r="E16" i="65"/>
  <c r="AY16" i="65" s="1"/>
  <c r="AR17" i="63"/>
  <c r="AS17" i="63" s="1"/>
  <c r="G17" i="63" s="1"/>
  <c r="F17" i="63" s="1"/>
  <c r="AR14" i="70"/>
  <c r="AS14" i="70" s="1"/>
  <c r="G14" i="70" s="1"/>
  <c r="F14" i="70" s="1"/>
  <c r="C14" i="16"/>
  <c r="E14" i="16" s="1"/>
  <c r="AF8" i="33"/>
  <c r="AR17" i="66"/>
  <c r="AS17" i="66" s="1"/>
  <c r="G17" i="66" s="1"/>
  <c r="F17" i="66" s="1"/>
  <c r="E14" i="64"/>
  <c r="AY22" i="64" s="1"/>
  <c r="AR16" i="66"/>
  <c r="AS16" i="66" s="1"/>
  <c r="G16" i="66" s="1"/>
  <c r="F16" i="66" s="1"/>
  <c r="H11" i="16"/>
  <c r="F11" i="16"/>
  <c r="H10" i="16"/>
  <c r="F10" i="16"/>
  <c r="C7" i="16"/>
  <c r="E7" i="16" s="1"/>
  <c r="K8" i="33"/>
  <c r="E5" i="16"/>
  <c r="E17" i="64"/>
  <c r="H8" i="33"/>
  <c r="C6" i="16"/>
  <c r="E6" i="16" s="1"/>
  <c r="E17" i="65"/>
  <c r="AR16" i="70"/>
  <c r="AS16" i="70" s="1"/>
  <c r="G16" i="70" s="1"/>
  <c r="F16" i="70" s="1"/>
  <c r="F12" i="16"/>
  <c r="AR15" i="63"/>
  <c r="AS15" i="63" s="1"/>
  <c r="G15" i="63" s="1"/>
  <c r="F15" i="63" s="1"/>
  <c r="AR16" i="68"/>
  <c r="AS16" i="68" s="1"/>
  <c r="G16" i="68" s="1"/>
  <c r="F16" i="68" s="1"/>
  <c r="C13" i="16"/>
  <c r="E13" i="16" s="1"/>
  <c r="AC8" i="33"/>
  <c r="AR16" i="63"/>
  <c r="AS16" i="63" s="1"/>
  <c r="G16" i="63" s="1"/>
  <c r="F16" i="63" s="1"/>
  <c r="AR16" i="72"/>
  <c r="AS16" i="72" s="1"/>
  <c r="G16" i="72" s="1"/>
  <c r="F16" i="72" s="1"/>
  <c r="AR15" i="68"/>
  <c r="AS15" i="68" s="1"/>
  <c r="G15" i="68" s="1"/>
  <c r="F15" i="68" s="1"/>
  <c r="E15" i="64"/>
  <c r="N8" i="33"/>
  <c r="C8" i="16"/>
  <c r="E8" i="16" s="1"/>
  <c r="AR15" i="66"/>
  <c r="AS15" i="66" s="1"/>
  <c r="G15" i="66" s="1"/>
  <c r="F15" i="66" s="1"/>
  <c r="E16" i="71" l="1"/>
  <c r="AY16" i="71" s="1"/>
  <c r="AY17" i="67"/>
  <c r="AY25" i="67"/>
  <c r="AY14" i="67"/>
  <c r="BO6" i="67" s="1"/>
  <c r="AY22" i="67"/>
  <c r="AY17" i="62"/>
  <c r="AY25" i="62"/>
  <c r="AY17" i="64"/>
  <c r="AY25" i="64"/>
  <c r="AY16" i="64"/>
  <c r="AY24" i="64"/>
  <c r="AY24" i="71"/>
  <c r="AY17" i="65"/>
  <c r="AY25" i="65"/>
  <c r="AY15" i="65"/>
  <c r="AY23" i="65"/>
  <c r="E17" i="71"/>
  <c r="E15" i="71"/>
  <c r="AY15" i="71" s="1"/>
  <c r="E14" i="71"/>
  <c r="AY23" i="62"/>
  <c r="AY15" i="62"/>
  <c r="AY24" i="62"/>
  <c r="AY16" i="62"/>
  <c r="AY15" i="64"/>
  <c r="AY23" i="64"/>
  <c r="E16" i="70"/>
  <c r="AY16" i="70" s="1"/>
  <c r="E15" i="61"/>
  <c r="E16" i="61"/>
  <c r="E17" i="61"/>
  <c r="E14" i="61"/>
  <c r="AY22" i="61" s="1"/>
  <c r="E14" i="70"/>
  <c r="AY22" i="70" s="1"/>
  <c r="E15" i="70"/>
  <c r="AY15" i="70" s="1"/>
  <c r="E17" i="70"/>
  <c r="E16" i="68"/>
  <c r="D23" i="62"/>
  <c r="D25" i="62"/>
  <c r="D24" i="62"/>
  <c r="AY14" i="62"/>
  <c r="D22" i="62"/>
  <c r="D23" i="69"/>
  <c r="D24" i="69"/>
  <c r="D25" i="69"/>
  <c r="D22" i="69"/>
  <c r="AY14" i="69"/>
  <c r="E14" i="68"/>
  <c r="AY22" i="68" s="1"/>
  <c r="E15" i="68"/>
  <c r="AY15" i="68" s="1"/>
  <c r="E17" i="68"/>
  <c r="E16" i="72"/>
  <c r="E16" i="66"/>
  <c r="AY16" i="66" s="1"/>
  <c r="G4" i="16"/>
  <c r="D25" i="67"/>
  <c r="D24" i="67"/>
  <c r="D22" i="67"/>
  <c r="D23" i="67"/>
  <c r="E17" i="63"/>
  <c r="E14" i="66"/>
  <c r="AY14" i="66" s="1"/>
  <c r="E14" i="72"/>
  <c r="AY22" i="72" s="1"/>
  <c r="E16" i="63"/>
  <c r="AY16" i="63" s="1"/>
  <c r="E17" i="72"/>
  <c r="E15" i="72"/>
  <c r="F13" i="16"/>
  <c r="E17" i="66"/>
  <c r="AY17" i="66" s="1"/>
  <c r="F5" i="16"/>
  <c r="F7" i="16"/>
  <c r="E15" i="66"/>
  <c r="AY15" i="66" s="1"/>
  <c r="E15" i="63"/>
  <c r="D24" i="64"/>
  <c r="D23" i="64"/>
  <c r="D25" i="64"/>
  <c r="D22" i="64"/>
  <c r="AY14" i="64"/>
  <c r="F14" i="16"/>
  <c r="E14" i="63"/>
  <c r="AY22" i="63" s="1"/>
  <c r="D4" i="16"/>
  <c r="H8" i="16"/>
  <c r="F8" i="16"/>
  <c r="D24" i="65"/>
  <c r="D22" i="65"/>
  <c r="D25" i="65"/>
  <c r="D23" i="65"/>
  <c r="AY14" i="65"/>
  <c r="F6" i="16"/>
  <c r="BO7" i="67" l="1"/>
  <c r="CA6" i="67"/>
  <c r="BA7" i="67"/>
  <c r="CA5" i="67"/>
  <c r="BO5" i="67"/>
  <c r="CA7" i="67"/>
  <c r="BO8" i="67"/>
  <c r="BA5" i="67"/>
  <c r="BA6" i="67"/>
  <c r="BA8" i="67"/>
  <c r="BB5" i="64"/>
  <c r="CA8" i="67"/>
  <c r="BB8" i="64"/>
  <c r="AY17" i="68"/>
  <c r="AY25" i="68"/>
  <c r="BB7" i="62"/>
  <c r="BB7" i="67"/>
  <c r="BB5" i="67"/>
  <c r="BB6" i="67"/>
  <c r="BB8" i="67"/>
  <c r="AY17" i="70"/>
  <c r="AY25" i="70"/>
  <c r="BB5" i="70" s="1"/>
  <c r="AY16" i="61"/>
  <c r="AY24" i="61"/>
  <c r="BB6" i="62"/>
  <c r="AY24" i="68"/>
  <c r="AY16" i="68"/>
  <c r="AY17" i="61"/>
  <c r="AY25" i="61"/>
  <c r="AY16" i="72"/>
  <c r="AY24" i="72"/>
  <c r="AY17" i="72"/>
  <c r="AY25" i="72"/>
  <c r="AY17" i="71"/>
  <c r="AY25" i="71"/>
  <c r="BB5" i="65"/>
  <c r="BB6" i="65"/>
  <c r="BB8" i="65"/>
  <c r="BB7" i="65"/>
  <c r="AY22" i="71"/>
  <c r="D24" i="71"/>
  <c r="D23" i="71"/>
  <c r="D22" i="71"/>
  <c r="D25" i="71"/>
  <c r="AY14" i="71"/>
  <c r="AY17" i="63"/>
  <c r="AY25" i="63"/>
  <c r="BB6" i="64"/>
  <c r="BB7" i="64"/>
  <c r="AY15" i="63"/>
  <c r="AY23" i="63"/>
  <c r="BB5" i="62"/>
  <c r="BB8" i="62"/>
  <c r="AY15" i="72"/>
  <c r="AY23" i="72"/>
  <c r="AY15" i="61"/>
  <c r="AY23" i="61"/>
  <c r="G15" i="16"/>
  <c r="G10" i="16"/>
  <c r="G11" i="16"/>
  <c r="G9" i="16"/>
  <c r="G12" i="16"/>
  <c r="H12" i="16" s="1"/>
  <c r="G6" i="16"/>
  <c r="G14" i="16"/>
  <c r="G7" i="16"/>
  <c r="G8" i="16"/>
  <c r="G5" i="16"/>
  <c r="G13" i="16"/>
  <c r="D23" i="61"/>
  <c r="D24" i="61"/>
  <c r="D25" i="61"/>
  <c r="D22" i="61"/>
  <c r="AY14" i="61"/>
  <c r="D22" i="70"/>
  <c r="D24" i="70"/>
  <c r="D23" i="70"/>
  <c r="D25" i="70"/>
  <c r="AY14" i="70"/>
  <c r="F22" i="62"/>
  <c r="M22" i="62" a="1"/>
  <c r="H21" i="62" a="1"/>
  <c r="G22" i="62"/>
  <c r="E3" i="33"/>
  <c r="N22" i="62"/>
  <c r="E22" i="62"/>
  <c r="CA6" i="62"/>
  <c r="BA6" i="62"/>
  <c r="BA8" i="62"/>
  <c r="BO8" i="62"/>
  <c r="CA8" i="62"/>
  <c r="BA7" i="62"/>
  <c r="BO6" i="62"/>
  <c r="BO5" i="62"/>
  <c r="BA5" i="62"/>
  <c r="CA5" i="62"/>
  <c r="BO7" i="62"/>
  <c r="CA7" i="62"/>
  <c r="F24" i="62"/>
  <c r="G24" i="62"/>
  <c r="C5" i="45"/>
  <c r="E5" i="33"/>
  <c r="E24" i="62"/>
  <c r="N24" i="62"/>
  <c r="E6" i="33"/>
  <c r="G25" i="62"/>
  <c r="E25" i="62"/>
  <c r="F25" i="62"/>
  <c r="N25" i="62"/>
  <c r="N23" i="62"/>
  <c r="F23" i="62"/>
  <c r="E23" i="62"/>
  <c r="G23" i="62"/>
  <c r="E4" i="33"/>
  <c r="BO8" i="69"/>
  <c r="CA6" i="69"/>
  <c r="BO6" i="69"/>
  <c r="BA5" i="69"/>
  <c r="BO7" i="69"/>
  <c r="CA7" i="69"/>
  <c r="CA5" i="69"/>
  <c r="BO5" i="69"/>
  <c r="BA6" i="69"/>
  <c r="BA7" i="69"/>
  <c r="CA8" i="69"/>
  <c r="BA8" i="69"/>
  <c r="G22" i="69"/>
  <c r="N22" i="69"/>
  <c r="E22" i="69"/>
  <c r="Z3" i="33"/>
  <c r="H21" i="69" a="1"/>
  <c r="M22" i="69" a="1"/>
  <c r="F22" i="69"/>
  <c r="G25" i="69"/>
  <c r="E25" i="69"/>
  <c r="Z6" i="33"/>
  <c r="F25" i="69"/>
  <c r="N25" i="69"/>
  <c r="G24" i="69"/>
  <c r="N24" i="69"/>
  <c r="Z5" i="33"/>
  <c r="C12" i="45"/>
  <c r="E24" i="69"/>
  <c r="F24" i="69"/>
  <c r="G23" i="69"/>
  <c r="F23" i="69"/>
  <c r="Z4" i="33"/>
  <c r="N23" i="69"/>
  <c r="E23" i="69"/>
  <c r="D25" i="68"/>
  <c r="D23" i="68"/>
  <c r="D24" i="68"/>
  <c r="D22" i="68"/>
  <c r="AY14" i="68"/>
  <c r="H13" i="16"/>
  <c r="N23" i="67"/>
  <c r="F23" i="67"/>
  <c r="E23" i="67"/>
  <c r="G23" i="67"/>
  <c r="AI4" i="33"/>
  <c r="E24" i="67"/>
  <c r="N24" i="67"/>
  <c r="F24" i="67"/>
  <c r="G24" i="67"/>
  <c r="AI5" i="33"/>
  <c r="C15" i="45"/>
  <c r="AI6" i="33"/>
  <c r="G25" i="67"/>
  <c r="N25" i="67"/>
  <c r="E25" i="67"/>
  <c r="F25" i="67"/>
  <c r="F22" i="67"/>
  <c r="E22" i="67"/>
  <c r="AI3" i="33"/>
  <c r="G22" i="67"/>
  <c r="N22" i="67"/>
  <c r="H21" i="67" a="1"/>
  <c r="M22" i="67" a="1"/>
  <c r="BA6" i="65"/>
  <c r="CA5" i="65"/>
  <c r="BA5" i="65"/>
  <c r="BA8" i="65"/>
  <c r="BA7" i="65"/>
  <c r="BO8" i="65"/>
  <c r="BO5" i="65"/>
  <c r="CA7" i="65"/>
  <c r="BO6" i="65"/>
  <c r="CA8" i="65"/>
  <c r="BO7" i="65"/>
  <c r="CA6" i="65"/>
  <c r="G23" i="65"/>
  <c r="N23" i="65"/>
  <c r="E23" i="65"/>
  <c r="W4" i="33"/>
  <c r="F23" i="65"/>
  <c r="BA7" i="64"/>
  <c r="BA6" i="64"/>
  <c r="BA8" i="64"/>
  <c r="BO6" i="64"/>
  <c r="BO8" i="64"/>
  <c r="BO5" i="64"/>
  <c r="CA6" i="64"/>
  <c r="CA8" i="64"/>
  <c r="BA5" i="64"/>
  <c r="BO7" i="64"/>
  <c r="CA7" i="64"/>
  <c r="CA5" i="64"/>
  <c r="BA6" i="66"/>
  <c r="CA7" i="66"/>
  <c r="BA8" i="66"/>
  <c r="CA5" i="66"/>
  <c r="BO8" i="66"/>
  <c r="BO7" i="66"/>
  <c r="CA8" i="66"/>
  <c r="CA6" i="66"/>
  <c r="BA7" i="66"/>
  <c r="BO5" i="66"/>
  <c r="BA5" i="66"/>
  <c r="BO6" i="66"/>
  <c r="G22" i="65"/>
  <c r="F22" i="65"/>
  <c r="M22" i="65" a="1"/>
  <c r="E22" i="65"/>
  <c r="W3" i="33"/>
  <c r="H21" i="65" a="1"/>
  <c r="N22" i="65"/>
  <c r="F25" i="64"/>
  <c r="N25" i="64"/>
  <c r="E25" i="64"/>
  <c r="T6" i="33"/>
  <c r="G25" i="64"/>
  <c r="G22" i="64"/>
  <c r="E22" i="64"/>
  <c r="T3" i="33"/>
  <c r="H21" i="64" a="1"/>
  <c r="F22" i="64"/>
  <c r="M22" i="64" a="1"/>
  <c r="N22" i="64"/>
  <c r="T4" i="33"/>
  <c r="G23" i="64"/>
  <c r="N23" i="64"/>
  <c r="F23" i="64"/>
  <c r="E23" i="64"/>
  <c r="W6" i="33"/>
  <c r="N25" i="65"/>
  <c r="E25" i="65"/>
  <c r="G25" i="65"/>
  <c r="F25" i="65"/>
  <c r="C11" i="45"/>
  <c r="F24" i="65"/>
  <c r="G24" i="65"/>
  <c r="E24" i="65"/>
  <c r="N24" i="65"/>
  <c r="W5" i="33"/>
  <c r="N24" i="64"/>
  <c r="C10" i="45"/>
  <c r="E24" i="64"/>
  <c r="T5" i="33"/>
  <c r="F24" i="64"/>
  <c r="G24" i="64"/>
  <c r="D22" i="72"/>
  <c r="D24" i="72"/>
  <c r="D23" i="72"/>
  <c r="D25" i="72"/>
  <c r="AY14" i="72"/>
  <c r="D24" i="63"/>
  <c r="D22" i="63"/>
  <c r="D25" i="63"/>
  <c r="D23" i="63"/>
  <c r="AY14" i="63"/>
  <c r="D24" i="66"/>
  <c r="D25" i="66"/>
  <c r="D22" i="66"/>
  <c r="D23" i="66"/>
  <c r="CC14" i="67" l="1" a="1"/>
  <c r="BZ14" i="67" a="1"/>
  <c r="CA14" i="67" a="1"/>
  <c r="CB14" i="67" a="1"/>
  <c r="BP14" i="67" a="1"/>
  <c r="BP15" i="67" s="1"/>
  <c r="BQ14" i="67" a="1"/>
  <c r="BQ15" i="67" s="1"/>
  <c r="BN14" i="67" a="1"/>
  <c r="BN16" i="67" s="1"/>
  <c r="BO14" i="67" a="1"/>
  <c r="BO17" i="67" s="1"/>
  <c r="BB14" i="67" a="1"/>
  <c r="BB16" i="67" s="1"/>
  <c r="AZ14" i="67" a="1"/>
  <c r="AZ17" i="67" s="1"/>
  <c r="BC14" i="67" a="1"/>
  <c r="BC14" i="67" s="1"/>
  <c r="BA14" i="67" a="1"/>
  <c r="BA17" i="67" s="1"/>
  <c r="BB5" i="68"/>
  <c r="BB8" i="61"/>
  <c r="BB5" i="72"/>
  <c r="BB8" i="68"/>
  <c r="BB6" i="68"/>
  <c r="BB8" i="63"/>
  <c r="BC22" i="64" a="1"/>
  <c r="BC25" i="64" s="1"/>
  <c r="BA22" i="62" a="1"/>
  <c r="BA24" i="62" s="1"/>
  <c r="BB7" i="70"/>
  <c r="BB8" i="70"/>
  <c r="AZ22" i="62" a="1"/>
  <c r="AZ22" i="62" s="1"/>
  <c r="BB6" i="70"/>
  <c r="BC22" i="67" a="1"/>
  <c r="BB22" i="67" a="1"/>
  <c r="AZ22" i="67" a="1"/>
  <c r="BA22" i="67" a="1"/>
  <c r="AZ22" i="65" a="1"/>
  <c r="BA22" i="65" a="1"/>
  <c r="BC22" i="65" a="1"/>
  <c r="BB22" i="65" a="1"/>
  <c r="BB7" i="68"/>
  <c r="BB5" i="61"/>
  <c r="F22" i="71"/>
  <c r="E22" i="71"/>
  <c r="H21" i="71" a="1"/>
  <c r="G22" i="71"/>
  <c r="M22" i="71" a="1"/>
  <c r="N22" i="71"/>
  <c r="Q3" i="33"/>
  <c r="F23" i="71"/>
  <c r="Q4" i="33"/>
  <c r="E23" i="71"/>
  <c r="G23" i="71"/>
  <c r="N23" i="71"/>
  <c r="C9" i="45"/>
  <c r="F24" i="71"/>
  <c r="N24" i="71"/>
  <c r="E24" i="71"/>
  <c r="G24" i="71"/>
  <c r="Q5" i="33"/>
  <c r="BB22" i="64" a="1"/>
  <c r="BB23" i="64" s="1"/>
  <c r="BB7" i="71"/>
  <c r="BB6" i="71"/>
  <c r="BB5" i="71"/>
  <c r="BB8" i="71"/>
  <c r="BB22" i="62" a="1"/>
  <c r="BB24" i="62" s="1"/>
  <c r="BB7" i="63"/>
  <c r="BC22" i="62" a="1"/>
  <c r="BC23" i="62" s="1"/>
  <c r="CA6" i="71"/>
  <c r="BA8" i="71"/>
  <c r="BO7" i="71"/>
  <c r="BA5" i="71"/>
  <c r="BA7" i="71"/>
  <c r="CA5" i="71"/>
  <c r="BO5" i="71"/>
  <c r="CA8" i="71"/>
  <c r="BA6" i="71"/>
  <c r="BO6" i="71"/>
  <c r="BO8" i="71"/>
  <c r="CA7" i="71"/>
  <c r="G25" i="71"/>
  <c r="Q6" i="33"/>
  <c r="F25" i="71"/>
  <c r="N25" i="71"/>
  <c r="E25" i="71"/>
  <c r="BB7" i="72"/>
  <c r="BB6" i="72"/>
  <c r="H5" i="16"/>
  <c r="BB8" i="72"/>
  <c r="H4" i="16"/>
  <c r="H15" i="16"/>
  <c r="BA22" i="64" a="1"/>
  <c r="BA25" i="64" s="1"/>
  <c r="BB6" i="61"/>
  <c r="H6" i="16"/>
  <c r="BB7" i="61"/>
  <c r="BB5" i="63"/>
  <c r="BB6" i="63"/>
  <c r="AZ22" i="64" a="1"/>
  <c r="H14" i="16"/>
  <c r="H7" i="16"/>
  <c r="H9" i="16"/>
  <c r="CA6" i="61"/>
  <c r="BA5" i="61"/>
  <c r="BO8" i="61"/>
  <c r="CA5" i="61"/>
  <c r="BO7" i="61"/>
  <c r="BA6" i="61"/>
  <c r="BO5" i="61"/>
  <c r="BA8" i="61"/>
  <c r="CA7" i="61"/>
  <c r="CA8" i="61"/>
  <c r="BA7" i="61"/>
  <c r="BO6" i="61"/>
  <c r="E22" i="61"/>
  <c r="G22" i="61"/>
  <c r="F22" i="61"/>
  <c r="B3" i="33"/>
  <c r="N22" i="61"/>
  <c r="M22" i="61" a="1"/>
  <c r="H21" i="61" a="1"/>
  <c r="E25" i="61"/>
  <c r="B6" i="33"/>
  <c r="F25" i="61"/>
  <c r="N25" i="61"/>
  <c r="G25" i="61"/>
  <c r="F24" i="61"/>
  <c r="E24" i="61"/>
  <c r="B5" i="33"/>
  <c r="N24" i="61"/>
  <c r="G24" i="61"/>
  <c r="C4" i="45"/>
  <c r="G23" i="61"/>
  <c r="B4" i="33"/>
  <c r="E23" i="61"/>
  <c r="N23" i="61"/>
  <c r="F23" i="61"/>
  <c r="BA8" i="70"/>
  <c r="CA7" i="70"/>
  <c r="BA6" i="70"/>
  <c r="BO8" i="70"/>
  <c r="CA5" i="70"/>
  <c r="CA8" i="70"/>
  <c r="BO6" i="70"/>
  <c r="BO7" i="70"/>
  <c r="BA5" i="70"/>
  <c r="BO5" i="70"/>
  <c r="BA7" i="70"/>
  <c r="CA6" i="70"/>
  <c r="N25" i="70"/>
  <c r="F25" i="70"/>
  <c r="G25" i="70"/>
  <c r="K6" i="33"/>
  <c r="E25" i="70"/>
  <c r="E23" i="70"/>
  <c r="G23" i="70"/>
  <c r="N23" i="70"/>
  <c r="K4" i="33"/>
  <c r="F23" i="70"/>
  <c r="E24" i="70"/>
  <c r="N24" i="70"/>
  <c r="K5" i="33"/>
  <c r="F24" i="70"/>
  <c r="G24" i="70"/>
  <c r="C7" i="45"/>
  <c r="N22" i="70"/>
  <c r="M22" i="70" a="1"/>
  <c r="F22" i="70"/>
  <c r="K3" i="33"/>
  <c r="H21" i="70" a="1"/>
  <c r="E22" i="70"/>
  <c r="G22" i="70"/>
  <c r="G5" i="45"/>
  <c r="L22" i="62"/>
  <c r="F3" i="33"/>
  <c r="F5" i="45"/>
  <c r="L23" i="62"/>
  <c r="F4" i="33"/>
  <c r="L24" i="62"/>
  <c r="F5" i="33"/>
  <c r="D5" i="45"/>
  <c r="BZ14" i="62" a="1"/>
  <c r="CB14" i="62" a="1"/>
  <c r="CA14" i="62" a="1"/>
  <c r="CC14" i="62" a="1"/>
  <c r="K21" i="62"/>
  <c r="J21" i="62"/>
  <c r="H21" i="62"/>
  <c r="I21" i="62"/>
  <c r="BB14" i="62" a="1"/>
  <c r="AZ14" i="62" a="1"/>
  <c r="BA14" i="62" a="1"/>
  <c r="BC14" i="62" a="1"/>
  <c r="M22" i="62"/>
  <c r="M23" i="62"/>
  <c r="M24" i="62"/>
  <c r="M25" i="62"/>
  <c r="K5" i="45"/>
  <c r="L5" i="45"/>
  <c r="BN14" i="62" a="1"/>
  <c r="BQ14" i="62" a="1"/>
  <c r="BP14" i="62" a="1"/>
  <c r="BO14" i="62" a="1"/>
  <c r="F6" i="33"/>
  <c r="L25" i="62"/>
  <c r="AA3" i="33"/>
  <c r="L22" i="69"/>
  <c r="BP14" i="69" a="1"/>
  <c r="BO14" i="69" a="1"/>
  <c r="BN14" i="69" a="1"/>
  <c r="BQ14" i="69" a="1"/>
  <c r="BZ14" i="69" a="1"/>
  <c r="CB14" i="69" a="1"/>
  <c r="CA14" i="69" a="1"/>
  <c r="CC14" i="69" a="1"/>
  <c r="G12" i="45"/>
  <c r="BB14" i="69" a="1"/>
  <c r="AZ14" i="69" a="1"/>
  <c r="BA14" i="69" a="1"/>
  <c r="BC14" i="69" a="1"/>
  <c r="F12" i="45"/>
  <c r="M25" i="69"/>
  <c r="M23" i="69"/>
  <c r="M22" i="69"/>
  <c r="M24" i="69"/>
  <c r="D12" i="45"/>
  <c r="L24" i="69"/>
  <c r="AA5" i="33"/>
  <c r="H21" i="69"/>
  <c r="I21" i="69"/>
  <c r="J21" i="69"/>
  <c r="K21" i="69"/>
  <c r="AA4" i="33"/>
  <c r="L23" i="69"/>
  <c r="K12" i="45"/>
  <c r="L12" i="45"/>
  <c r="AA6" i="33"/>
  <c r="L25" i="69"/>
  <c r="CA6" i="68"/>
  <c r="BO8" i="68"/>
  <c r="BA6" i="68"/>
  <c r="BO6" i="68"/>
  <c r="CA5" i="68"/>
  <c r="CA7" i="68"/>
  <c r="BO5" i="68"/>
  <c r="BA5" i="68"/>
  <c r="BA8" i="68"/>
  <c r="BO7" i="68"/>
  <c r="BA7" i="68"/>
  <c r="CA8" i="68"/>
  <c r="H21" i="68" a="1"/>
  <c r="G22" i="68"/>
  <c r="N22" i="68"/>
  <c r="E22" i="68"/>
  <c r="AF3" i="33"/>
  <c r="F22" i="68"/>
  <c r="M22" i="68" a="1"/>
  <c r="AF5" i="33"/>
  <c r="C14" i="45"/>
  <c r="N24" i="68"/>
  <c r="E24" i="68"/>
  <c r="F24" i="68"/>
  <c r="G24" i="68"/>
  <c r="N23" i="68"/>
  <c r="F23" i="68"/>
  <c r="E23" i="68"/>
  <c r="G23" i="68"/>
  <c r="AF4" i="33"/>
  <c r="N25" i="68"/>
  <c r="F25" i="68"/>
  <c r="AF6" i="33"/>
  <c r="E25" i="68"/>
  <c r="G25" i="68"/>
  <c r="M25" i="67"/>
  <c r="M23" i="67"/>
  <c r="M24" i="67"/>
  <c r="M22" i="67"/>
  <c r="CA15" i="67"/>
  <c r="CA14" i="67"/>
  <c r="CA16" i="67"/>
  <c r="CA17" i="67"/>
  <c r="AJ5" i="33"/>
  <c r="D15" i="45"/>
  <c r="L24" i="67"/>
  <c r="K21" i="67"/>
  <c r="I21" i="67"/>
  <c r="H21" i="67"/>
  <c r="J21" i="67"/>
  <c r="CB14" i="67"/>
  <c r="CB17" i="67"/>
  <c r="CB15" i="67"/>
  <c r="CB16" i="67"/>
  <c r="BZ16" i="67"/>
  <c r="BZ14" i="67"/>
  <c r="BZ15" i="67"/>
  <c r="BZ17" i="67"/>
  <c r="CC17" i="67"/>
  <c r="CC15" i="67"/>
  <c r="CC16" i="67"/>
  <c r="CC14" i="67"/>
  <c r="K15" i="45"/>
  <c r="L15" i="45"/>
  <c r="AJ4" i="33"/>
  <c r="L23" i="67"/>
  <c r="G15" i="45"/>
  <c r="L22" i="67"/>
  <c r="AJ3" i="33"/>
  <c r="AJ6" i="33"/>
  <c r="L25" i="67"/>
  <c r="F15" i="45"/>
  <c r="M22" i="64"/>
  <c r="M23" i="64"/>
  <c r="M24" i="64"/>
  <c r="M25" i="64"/>
  <c r="G25" i="66"/>
  <c r="N25" i="66"/>
  <c r="E25" i="66"/>
  <c r="F25" i="66"/>
  <c r="AC6" i="33"/>
  <c r="G10" i="45"/>
  <c r="L25" i="65"/>
  <c r="X6" i="33"/>
  <c r="BB14" i="64" a="1"/>
  <c r="AZ14" i="64" a="1"/>
  <c r="BA14" i="64" a="1"/>
  <c r="BC14" i="64" a="1"/>
  <c r="X4" i="33"/>
  <c r="L23" i="65"/>
  <c r="BB14" i="65" a="1"/>
  <c r="AZ14" i="65" a="1"/>
  <c r="BA14" i="65" a="1"/>
  <c r="BC14" i="65" a="1"/>
  <c r="G23" i="66"/>
  <c r="F23" i="66"/>
  <c r="N23" i="66"/>
  <c r="AC4" i="33"/>
  <c r="E23" i="66"/>
  <c r="N6" i="33"/>
  <c r="E25" i="72"/>
  <c r="G25" i="72"/>
  <c r="F25" i="72"/>
  <c r="N25" i="72"/>
  <c r="G24" i="66"/>
  <c r="C13" i="45"/>
  <c r="N24" i="66"/>
  <c r="AC5" i="33"/>
  <c r="E24" i="66"/>
  <c r="F24" i="66"/>
  <c r="E23" i="72"/>
  <c r="F23" i="72"/>
  <c r="N23" i="72"/>
  <c r="G23" i="72"/>
  <c r="N4" i="33"/>
  <c r="F10" i="45"/>
  <c r="U4" i="33"/>
  <c r="L23" i="64"/>
  <c r="CA14" i="66" a="1"/>
  <c r="CC14" i="66" a="1"/>
  <c r="CB14" i="66" a="1"/>
  <c r="BZ14" i="66" a="1"/>
  <c r="CC14" i="65" a="1"/>
  <c r="CB14" i="65" a="1"/>
  <c r="CA14" i="65" a="1"/>
  <c r="BZ14" i="65" a="1"/>
  <c r="BA8" i="63"/>
  <c r="BA7" i="63"/>
  <c r="BO7" i="63"/>
  <c r="BA5" i="63"/>
  <c r="BO6" i="63"/>
  <c r="BO8" i="63"/>
  <c r="BO5" i="63"/>
  <c r="CA7" i="63"/>
  <c r="CA8" i="63"/>
  <c r="CA5" i="63"/>
  <c r="BA6" i="63"/>
  <c r="CA6" i="63"/>
  <c r="D11" i="45"/>
  <c r="L24" i="65"/>
  <c r="X5" i="33"/>
  <c r="I21" i="64"/>
  <c r="J21" i="64"/>
  <c r="K21" i="64"/>
  <c r="H21" i="64"/>
  <c r="BA14" i="66" a="1"/>
  <c r="BC14" i="66" a="1"/>
  <c r="AZ14" i="66" a="1"/>
  <c r="BB14" i="66" a="1"/>
  <c r="N22" i="66"/>
  <c r="H21" i="66" a="1"/>
  <c r="M22" i="66" a="1"/>
  <c r="F22" i="66"/>
  <c r="AC3" i="33"/>
  <c r="E22" i="66"/>
  <c r="G22" i="66"/>
  <c r="E22" i="72"/>
  <c r="G22" i="72"/>
  <c r="M22" i="72" a="1"/>
  <c r="H21" i="72" a="1"/>
  <c r="N3" i="33"/>
  <c r="F22" i="72"/>
  <c r="N22" i="72"/>
  <c r="K21" i="65"/>
  <c r="I21" i="65"/>
  <c r="J21" i="65"/>
  <c r="H21" i="65"/>
  <c r="BO14" i="66" a="1"/>
  <c r="BQ14" i="66" a="1"/>
  <c r="BP14" i="66" a="1"/>
  <c r="BN14" i="66" a="1"/>
  <c r="BP14" i="64" a="1"/>
  <c r="BO14" i="64" a="1"/>
  <c r="BQ14" i="64" a="1"/>
  <c r="BN14" i="64" a="1"/>
  <c r="BA5" i="72"/>
  <c r="BO6" i="72"/>
  <c r="BO8" i="72"/>
  <c r="BA8" i="72"/>
  <c r="BA7" i="72"/>
  <c r="BO5" i="72"/>
  <c r="CA6" i="72"/>
  <c r="CA8" i="72"/>
  <c r="BA6" i="72"/>
  <c r="BO7" i="72"/>
  <c r="CA7" i="72"/>
  <c r="CA5" i="72"/>
  <c r="C8" i="45"/>
  <c r="N24" i="72"/>
  <c r="E24" i="72"/>
  <c r="F24" i="72"/>
  <c r="G24" i="72"/>
  <c r="N5" i="33"/>
  <c r="G11" i="45"/>
  <c r="G25" i="63"/>
  <c r="F25" i="63"/>
  <c r="N25" i="63"/>
  <c r="E25" i="63"/>
  <c r="H6" i="33"/>
  <c r="F11" i="45"/>
  <c r="BO14" i="65" a="1"/>
  <c r="BQ14" i="65" a="1"/>
  <c r="BP14" i="65" a="1"/>
  <c r="BN14" i="65" a="1"/>
  <c r="M22" i="65"/>
  <c r="M24" i="65"/>
  <c r="M25" i="65"/>
  <c r="M23" i="65"/>
  <c r="E23" i="63"/>
  <c r="G23" i="63"/>
  <c r="N23" i="63"/>
  <c r="F23" i="63"/>
  <c r="H4" i="33"/>
  <c r="D10" i="45"/>
  <c r="L24" i="64"/>
  <c r="U5" i="33"/>
  <c r="L22" i="64"/>
  <c r="U3" i="33"/>
  <c r="G22" i="63"/>
  <c r="H3" i="33"/>
  <c r="N22" i="63"/>
  <c r="H21" i="63" a="1"/>
  <c r="E22" i="63"/>
  <c r="M22" i="63" a="1"/>
  <c r="F22" i="63"/>
  <c r="K10" i="45"/>
  <c r="L10" i="45"/>
  <c r="L11" i="45"/>
  <c r="K11" i="45"/>
  <c r="L25" i="64"/>
  <c r="U6" i="33"/>
  <c r="CB14" i="64" a="1"/>
  <c r="CA14" i="64" a="1"/>
  <c r="CC14" i="64" a="1"/>
  <c r="BZ14" i="64" a="1"/>
  <c r="E24" i="63"/>
  <c r="F24" i="63"/>
  <c r="G24" i="63"/>
  <c r="H5" i="33"/>
  <c r="C6" i="45"/>
  <c r="N24" i="63"/>
  <c r="X3" i="33"/>
  <c r="L22" i="65"/>
  <c r="E11" i="45" l="1"/>
  <c r="BQ14" i="67"/>
  <c r="BQ16" i="67"/>
  <c r="BQ17" i="67"/>
  <c r="BN14" i="67"/>
  <c r="BP16" i="67"/>
  <c r="BP14" i="67"/>
  <c r="BP17" i="67"/>
  <c r="BO16" i="67"/>
  <c r="BN15" i="67"/>
  <c r="BN17" i="67"/>
  <c r="BO15" i="67"/>
  <c r="BO14" i="67"/>
  <c r="BB14" i="67"/>
  <c r="BB15" i="67"/>
  <c r="BB17" i="67"/>
  <c r="AZ15" i="67"/>
  <c r="AZ14" i="67"/>
  <c r="AZ16" i="67"/>
  <c r="BA16" i="67"/>
  <c r="BC17" i="67"/>
  <c r="BC15" i="67"/>
  <c r="BA14" i="67"/>
  <c r="BC16" i="67"/>
  <c r="BA15" i="67"/>
  <c r="E12" i="45"/>
  <c r="H12" i="45" s="1"/>
  <c r="BC24" i="64"/>
  <c r="AZ25" i="62"/>
  <c r="AZ24" i="62"/>
  <c r="AZ23" i="62"/>
  <c r="BA22" i="62"/>
  <c r="BA23" i="62"/>
  <c r="BA25" i="62"/>
  <c r="BA22" i="68" a="1"/>
  <c r="BA23" i="68" s="1"/>
  <c r="BC23" i="64"/>
  <c r="BB25" i="64"/>
  <c r="BB22" i="68" a="1"/>
  <c r="BB23" i="68" s="1"/>
  <c r="BC25" i="62"/>
  <c r="BC22" i="62"/>
  <c r="AZ22" i="70" a="1"/>
  <c r="AZ22" i="70" s="1"/>
  <c r="BB22" i="64"/>
  <c r="BC22" i="64"/>
  <c r="BA22" i="61" a="1"/>
  <c r="BA24" i="61" s="1"/>
  <c r="BB24" i="64"/>
  <c r="BC22" i="68" a="1"/>
  <c r="BC24" i="68" s="1"/>
  <c r="BA22" i="72" a="1"/>
  <c r="BA23" i="72" s="1"/>
  <c r="AZ22" i="68" a="1"/>
  <c r="AZ22" i="68" s="1"/>
  <c r="BC24" i="67"/>
  <c r="BC23" i="67"/>
  <c r="BC22" i="67"/>
  <c r="BC25" i="67"/>
  <c r="BC24" i="62"/>
  <c r="BC22" i="70" a="1"/>
  <c r="BA24" i="64"/>
  <c r="BA23" i="67"/>
  <c r="BA24" i="67"/>
  <c r="BA22" i="67"/>
  <c r="BA25" i="67"/>
  <c r="BB22" i="70" a="1"/>
  <c r="AZ22" i="67"/>
  <c r="AZ25" i="67"/>
  <c r="AZ24" i="67"/>
  <c r="AZ23" i="67"/>
  <c r="BA22" i="70" a="1"/>
  <c r="BB22" i="67"/>
  <c r="BB23" i="67"/>
  <c r="BB25" i="67"/>
  <c r="BB24" i="67"/>
  <c r="AZ22" i="61" a="1"/>
  <c r="AZ25" i="61" s="1"/>
  <c r="AZ22" i="72" a="1"/>
  <c r="AZ22" i="72" s="1"/>
  <c r="BB23" i="65"/>
  <c r="BB24" i="65"/>
  <c r="BB25" i="65"/>
  <c r="BB22" i="65"/>
  <c r="BC24" i="65"/>
  <c r="BC25" i="65"/>
  <c r="BC23" i="65"/>
  <c r="BC22" i="65"/>
  <c r="BA23" i="65"/>
  <c r="BA24" i="65"/>
  <c r="BA25" i="65"/>
  <c r="BA22" i="65"/>
  <c r="AZ25" i="65"/>
  <c r="AZ22" i="65"/>
  <c r="AZ23" i="65"/>
  <c r="AZ24" i="65"/>
  <c r="BA14" i="71" a="1"/>
  <c r="BB14" i="71" a="1"/>
  <c r="BC14" i="71" a="1"/>
  <c r="AZ14" i="71" a="1"/>
  <c r="K21" i="71"/>
  <c r="J21" i="71"/>
  <c r="I21" i="71"/>
  <c r="H21" i="71"/>
  <c r="BC22" i="61" a="1"/>
  <c r="BC25" i="61" s="1"/>
  <c r="R6" i="33"/>
  <c r="L25" i="71"/>
  <c r="L24" i="71"/>
  <c r="R5" i="33"/>
  <c r="D9" i="45"/>
  <c r="L22" i="71"/>
  <c r="R3" i="33"/>
  <c r="BB23" i="62"/>
  <c r="BB22" i="61" a="1"/>
  <c r="BB23" i="61" s="1"/>
  <c r="BB22" i="71" a="1"/>
  <c r="BA22" i="71" a="1"/>
  <c r="AZ22" i="71" a="1"/>
  <c r="BC22" i="71" a="1"/>
  <c r="BB25" i="62"/>
  <c r="F9" i="45"/>
  <c r="BB22" i="62"/>
  <c r="L9" i="45"/>
  <c r="K9" i="45"/>
  <c r="BP14" i="71" a="1"/>
  <c r="BN14" i="71" a="1"/>
  <c r="BQ14" i="71" a="1"/>
  <c r="BO14" i="71" a="1"/>
  <c r="BB22" i="72" a="1"/>
  <c r="BB22" i="72" s="1"/>
  <c r="BZ14" i="71" a="1"/>
  <c r="CB14" i="71" a="1"/>
  <c r="CA14" i="71" a="1"/>
  <c r="CC14" i="71" a="1"/>
  <c r="M23" i="71"/>
  <c r="M25" i="71"/>
  <c r="M24" i="71"/>
  <c r="M22" i="71"/>
  <c r="BC22" i="72" a="1"/>
  <c r="BC24" i="72" s="1"/>
  <c r="G9" i="45"/>
  <c r="R4" i="33"/>
  <c r="L23" i="71"/>
  <c r="BA23" i="64"/>
  <c r="BA22" i="64"/>
  <c r="AZ22" i="64"/>
  <c r="AZ23" i="64"/>
  <c r="AZ24" i="64"/>
  <c r="AZ25" i="64"/>
  <c r="BC22" i="63" a="1"/>
  <c r="BA22" i="63" a="1"/>
  <c r="AZ22" i="63" a="1"/>
  <c r="BB22" i="63" a="1"/>
  <c r="K13" i="16"/>
  <c r="J4" i="16" s="1"/>
  <c r="B7" i="33" s="1"/>
  <c r="Z7" i="33" s="1"/>
  <c r="E5" i="45"/>
  <c r="H5" i="45" s="1"/>
  <c r="BO14" i="61" a="1"/>
  <c r="BQ14" i="61" a="1"/>
  <c r="BN14" i="61" a="1"/>
  <c r="L23" i="61"/>
  <c r="C4" i="33"/>
  <c r="F4" i="45"/>
  <c r="C3" i="33"/>
  <c r="L22" i="61"/>
  <c r="I21" i="61"/>
  <c r="J21" i="61"/>
  <c r="K21" i="61"/>
  <c r="H21" i="61"/>
  <c r="BP14" i="61" a="1"/>
  <c r="BZ14" i="61" a="1"/>
  <c r="CA14" i="61" a="1"/>
  <c r="CC14" i="61" a="1"/>
  <c r="CB14" i="61" a="1"/>
  <c r="K4" i="45"/>
  <c r="L4" i="45"/>
  <c r="M24" i="61"/>
  <c r="M25" i="61"/>
  <c r="M22" i="61"/>
  <c r="M23" i="61"/>
  <c r="L25" i="61"/>
  <c r="C6" i="33"/>
  <c r="G4" i="45"/>
  <c r="BB14" i="61" a="1"/>
  <c r="BC14" i="61" a="1"/>
  <c r="AZ14" i="61" a="1"/>
  <c r="BA14" i="61" a="1"/>
  <c r="L24" i="61"/>
  <c r="C5" i="33"/>
  <c r="D4" i="45"/>
  <c r="F7" i="45"/>
  <c r="CA14" i="70" a="1"/>
  <c r="CC14" i="70" a="1"/>
  <c r="CB14" i="70" a="1"/>
  <c r="BZ14" i="70" a="1"/>
  <c r="L23" i="70"/>
  <c r="L4" i="33"/>
  <c r="M24" i="70"/>
  <c r="M25" i="70"/>
  <c r="M22" i="70"/>
  <c r="M23" i="70"/>
  <c r="D7" i="45"/>
  <c r="L24" i="70"/>
  <c r="L5" i="33"/>
  <c r="L6" i="33"/>
  <c r="L25" i="70"/>
  <c r="BQ14" i="70" a="1"/>
  <c r="BN14" i="70" a="1"/>
  <c r="BO14" i="70" a="1"/>
  <c r="BP14" i="70" a="1"/>
  <c r="BA14" i="70" a="1"/>
  <c r="BC14" i="70" a="1"/>
  <c r="AZ14" i="70" a="1"/>
  <c r="BB14" i="70" a="1"/>
  <c r="K7" i="45"/>
  <c r="L7" i="45"/>
  <c r="L3" i="33"/>
  <c r="L22" i="70"/>
  <c r="G7" i="45"/>
  <c r="J21" i="70"/>
  <c r="K21" i="70"/>
  <c r="I21" i="70"/>
  <c r="H21" i="70"/>
  <c r="CB14" i="62"/>
  <c r="CB16" i="62"/>
  <c r="CB15" i="62"/>
  <c r="CB17" i="62"/>
  <c r="F43" i="33"/>
  <c r="E43" i="33"/>
  <c r="N80" i="22" s="1"/>
  <c r="J77" i="22" s="1"/>
  <c r="BZ17" i="62"/>
  <c r="BZ14" i="62"/>
  <c r="BZ16" i="62"/>
  <c r="BZ15" i="62"/>
  <c r="E45" i="33"/>
  <c r="F45" i="33"/>
  <c r="BC16" i="62"/>
  <c r="BC14" i="62"/>
  <c r="BC15" i="62"/>
  <c r="BC17" i="62"/>
  <c r="BA16" i="62"/>
  <c r="BA17" i="62"/>
  <c r="BA14" i="62"/>
  <c r="BA15" i="62"/>
  <c r="H22" i="62" a="1"/>
  <c r="BO17" i="62"/>
  <c r="BO14" i="62"/>
  <c r="BO15" i="62"/>
  <c r="BO16" i="62"/>
  <c r="AZ17" i="62"/>
  <c r="AZ14" i="62"/>
  <c r="AZ15" i="62"/>
  <c r="AZ16" i="62"/>
  <c r="BP14" i="62"/>
  <c r="BP15" i="62"/>
  <c r="BP17" i="62"/>
  <c r="BP16" i="62"/>
  <c r="BB15" i="62"/>
  <c r="BB16" i="62"/>
  <c r="BB14" i="62"/>
  <c r="BB17" i="62"/>
  <c r="E44" i="33"/>
  <c r="F44" i="33"/>
  <c r="E42" i="33"/>
  <c r="N79" i="22" s="1"/>
  <c r="I89" i="22" s="1"/>
  <c r="F42" i="33"/>
  <c r="BQ15" i="62"/>
  <c r="BQ16" i="62"/>
  <c r="BQ14" i="62"/>
  <c r="BQ17" i="62"/>
  <c r="CC16" i="62"/>
  <c r="CC17" i="62"/>
  <c r="CC14" i="62"/>
  <c r="CC15" i="62"/>
  <c r="BN15" i="62"/>
  <c r="BN17" i="62"/>
  <c r="BN14" i="62"/>
  <c r="BN16" i="62"/>
  <c r="CA15" i="62"/>
  <c r="CA16" i="62"/>
  <c r="CA17" i="62"/>
  <c r="CA14" i="62"/>
  <c r="BZ14" i="69"/>
  <c r="BZ16" i="69"/>
  <c r="BZ17" i="69"/>
  <c r="BZ15" i="69"/>
  <c r="H22" i="69" a="1"/>
  <c r="BQ16" i="69"/>
  <c r="BQ17" i="69"/>
  <c r="BQ14" i="69"/>
  <c r="BQ15" i="69"/>
  <c r="BN17" i="69"/>
  <c r="BN14" i="69"/>
  <c r="BN15" i="69"/>
  <c r="BN16" i="69"/>
  <c r="Z43" i="33"/>
  <c r="N94" i="22" s="1"/>
  <c r="J82" i="22" s="1"/>
  <c r="AA43" i="33"/>
  <c r="Z44" i="33"/>
  <c r="AA44" i="33"/>
  <c r="BO14" i="69"/>
  <c r="BO15" i="69"/>
  <c r="BO16" i="69"/>
  <c r="BO17" i="69"/>
  <c r="BC14" i="69"/>
  <c r="BC16" i="69"/>
  <c r="BC15" i="69"/>
  <c r="BC17" i="69"/>
  <c r="BP14" i="69"/>
  <c r="BP15" i="69"/>
  <c r="BP16" i="69"/>
  <c r="BP17" i="69"/>
  <c r="BA17" i="69"/>
  <c r="BA14" i="69"/>
  <c r="BA15" i="69"/>
  <c r="BA16" i="69"/>
  <c r="CC16" i="69"/>
  <c r="CC14" i="69"/>
  <c r="CC15" i="69"/>
  <c r="CC17" i="69"/>
  <c r="AA45" i="33"/>
  <c r="Z45" i="33"/>
  <c r="AZ16" i="69"/>
  <c r="AZ15" i="69"/>
  <c r="AZ14" i="69"/>
  <c r="AZ17" i="69"/>
  <c r="CA17" i="69"/>
  <c r="CA16" i="69"/>
  <c r="CA14" i="69"/>
  <c r="CA15" i="69"/>
  <c r="AA42" i="33"/>
  <c r="Z42" i="33"/>
  <c r="N93" i="22" s="1"/>
  <c r="I81" i="22" s="1"/>
  <c r="BB14" i="69"/>
  <c r="BB16" i="69"/>
  <c r="BB15" i="69"/>
  <c r="BB17" i="69"/>
  <c r="CB16" i="69"/>
  <c r="CB15" i="69"/>
  <c r="CB14" i="69"/>
  <c r="CB17" i="69"/>
  <c r="L23" i="68"/>
  <c r="AG4" i="33"/>
  <c r="BB14" i="68" a="1"/>
  <c r="BC14" i="68" a="1"/>
  <c r="BA14" i="68" a="1"/>
  <c r="AZ14" i="68" a="1"/>
  <c r="AG6" i="33"/>
  <c r="L25" i="68"/>
  <c r="K14" i="45"/>
  <c r="L14" i="45"/>
  <c r="BO14" i="68" a="1"/>
  <c r="BP14" i="68" a="1"/>
  <c r="BQ14" i="68" a="1"/>
  <c r="BN14" i="68" a="1"/>
  <c r="K21" i="68"/>
  <c r="I21" i="68"/>
  <c r="H21" i="68"/>
  <c r="J21" i="68"/>
  <c r="CA14" i="68" a="1"/>
  <c r="CB14" i="68" a="1"/>
  <c r="CC14" i="68" a="1"/>
  <c r="BZ14" i="68" a="1"/>
  <c r="G14" i="45"/>
  <c r="M24" i="68"/>
  <c r="M25" i="68"/>
  <c r="M23" i="68"/>
  <c r="M22" i="68"/>
  <c r="F14" i="45"/>
  <c r="AG5" i="33"/>
  <c r="L24" i="68"/>
  <c r="D14" i="45"/>
  <c r="L22" i="68"/>
  <c r="AG3" i="33"/>
  <c r="E10" i="45"/>
  <c r="H10" i="45" s="1"/>
  <c r="E15" i="45"/>
  <c r="H15" i="45" s="1"/>
  <c r="H22" i="67" a="1"/>
  <c r="AI44" i="33"/>
  <c r="AJ44" i="33"/>
  <c r="AJ45" i="33"/>
  <c r="AI45" i="33"/>
  <c r="CE13" i="67" a="1"/>
  <c r="AI43" i="33"/>
  <c r="N100" i="22" s="1"/>
  <c r="J87" i="22" s="1"/>
  <c r="AJ43" i="33"/>
  <c r="AJ42" i="33"/>
  <c r="AI42" i="33"/>
  <c r="N99" i="22" s="1"/>
  <c r="I84" i="22" s="1"/>
  <c r="M24" i="63"/>
  <c r="M22" i="63"/>
  <c r="M23" i="63"/>
  <c r="M25" i="63"/>
  <c r="I3" i="33"/>
  <c r="L22" i="63"/>
  <c r="BN16" i="65"/>
  <c r="BN17" i="65"/>
  <c r="BN14" i="65"/>
  <c r="BN15" i="65"/>
  <c r="BP14" i="66"/>
  <c r="BP15" i="66"/>
  <c r="BP16" i="66"/>
  <c r="BP17" i="66"/>
  <c r="I21" i="66"/>
  <c r="J21" i="66"/>
  <c r="K21" i="66"/>
  <c r="H21" i="66"/>
  <c r="H11" i="45"/>
  <c r="CC16" i="65"/>
  <c r="CC14" i="65"/>
  <c r="CC17" i="65"/>
  <c r="CC15" i="65"/>
  <c r="O4" i="33"/>
  <c r="L23" i="72"/>
  <c r="W43" i="33"/>
  <c r="N92" i="22" s="1"/>
  <c r="J90" i="22" s="1"/>
  <c r="X43" i="33"/>
  <c r="L25" i="66"/>
  <c r="AD6" i="33"/>
  <c r="CA16" i="64"/>
  <c r="CA17" i="64"/>
  <c r="CA14" i="64"/>
  <c r="CA15" i="64"/>
  <c r="BN14" i="66"/>
  <c r="BN15" i="66"/>
  <c r="BN16" i="66"/>
  <c r="BN17" i="66"/>
  <c r="G13" i="45"/>
  <c r="I21" i="63"/>
  <c r="K21" i="63"/>
  <c r="J21" i="63"/>
  <c r="H21" i="63"/>
  <c r="BP14" i="65"/>
  <c r="BP15" i="65"/>
  <c r="BP16" i="65"/>
  <c r="BP17" i="65"/>
  <c r="L25" i="63"/>
  <c r="I6" i="33"/>
  <c r="BQ17" i="66"/>
  <c r="BQ14" i="66"/>
  <c r="BQ15" i="66"/>
  <c r="BQ16" i="66"/>
  <c r="H22" i="64" a="1"/>
  <c r="AZ14" i="63" a="1"/>
  <c r="BB14" i="63" a="1"/>
  <c r="BA14" i="63" a="1"/>
  <c r="BC14" i="63" a="1"/>
  <c r="BZ15" i="66"/>
  <c r="BZ17" i="66"/>
  <c r="BZ14" i="66"/>
  <c r="BZ16" i="66"/>
  <c r="F13" i="45"/>
  <c r="BQ17" i="65"/>
  <c r="BQ14" i="65"/>
  <c r="BQ15" i="65"/>
  <c r="BQ16" i="65"/>
  <c r="G8" i="45"/>
  <c r="BA14" i="72" a="1"/>
  <c r="BB14" i="72" a="1"/>
  <c r="AZ14" i="72" a="1"/>
  <c r="BC14" i="72" a="1"/>
  <c r="BO14" i="66"/>
  <c r="BO15" i="66"/>
  <c r="BO16" i="66"/>
  <c r="BO17" i="66"/>
  <c r="CB16" i="66"/>
  <c r="CB14" i="66"/>
  <c r="CB17" i="66"/>
  <c r="CB15" i="66"/>
  <c r="D13" i="45"/>
  <c r="L24" i="66"/>
  <c r="AD5" i="33"/>
  <c r="W45" i="33"/>
  <c r="X45" i="33"/>
  <c r="F6" i="45"/>
  <c r="D6" i="45"/>
  <c r="I5" i="33"/>
  <c r="L24" i="63"/>
  <c r="CB14" i="64"/>
  <c r="CB16" i="64"/>
  <c r="CB17" i="64"/>
  <c r="CB15" i="64"/>
  <c r="K6" i="45"/>
  <c r="L6" i="45"/>
  <c r="U45" i="33"/>
  <c r="T45" i="33"/>
  <c r="I4" i="33"/>
  <c r="L23" i="63"/>
  <c r="BO14" i="65"/>
  <c r="BO15" i="65"/>
  <c r="BO16" i="65"/>
  <c r="BO17" i="65"/>
  <c r="F8" i="45"/>
  <c r="BN16" i="64"/>
  <c r="BN15" i="64"/>
  <c r="BN14" i="64"/>
  <c r="BN17" i="64"/>
  <c r="H22" i="65" a="1"/>
  <c r="I21" i="72"/>
  <c r="H21" i="72"/>
  <c r="K21" i="72"/>
  <c r="J21" i="72"/>
  <c r="AD3" i="33"/>
  <c r="L22" i="66"/>
  <c r="BB14" i="66"/>
  <c r="BB16" i="66"/>
  <c r="BB15" i="66"/>
  <c r="BB17" i="66"/>
  <c r="CB14" i="63" a="1"/>
  <c r="CA14" i="63" a="1"/>
  <c r="CC14" i="63" a="1"/>
  <c r="BZ14" i="63" a="1"/>
  <c r="CC17" i="66"/>
  <c r="CC15" i="66"/>
  <c r="CC16" i="66"/>
  <c r="CC14" i="66"/>
  <c r="BC14" i="64"/>
  <c r="BC17" i="64"/>
  <c r="BC16" i="64"/>
  <c r="BC15" i="64"/>
  <c r="X42" i="33"/>
  <c r="W42" i="33"/>
  <c r="N91" i="22" s="1"/>
  <c r="I88" i="22" s="1"/>
  <c r="L22" i="72"/>
  <c r="O3" i="33"/>
  <c r="BB16" i="65"/>
  <c r="BB14" i="65"/>
  <c r="BB17" i="65"/>
  <c r="BB15" i="65"/>
  <c r="T44" i="33"/>
  <c r="U44" i="33"/>
  <c r="D8" i="45"/>
  <c r="L24" i="72"/>
  <c r="O5" i="33"/>
  <c r="BQ15" i="64"/>
  <c r="BQ16" i="64"/>
  <c r="BQ17" i="64"/>
  <c r="BQ14" i="64"/>
  <c r="M22" i="72"/>
  <c r="M24" i="72"/>
  <c r="M25" i="72"/>
  <c r="M23" i="72"/>
  <c r="AZ14" i="66"/>
  <c r="AZ17" i="66"/>
  <c r="AZ16" i="66"/>
  <c r="AZ15" i="66"/>
  <c r="CA17" i="66"/>
  <c r="CA15" i="66"/>
  <c r="CA14" i="66"/>
  <c r="CA16" i="66"/>
  <c r="L25" i="72"/>
  <c r="O6" i="33"/>
  <c r="BC15" i="65"/>
  <c r="BC17" i="65"/>
  <c r="BC14" i="65"/>
  <c r="BC16" i="65"/>
  <c r="BA15" i="64"/>
  <c r="BA16" i="64"/>
  <c r="BA17" i="64"/>
  <c r="BA14" i="64"/>
  <c r="T42" i="33"/>
  <c r="N89" i="22" s="1"/>
  <c r="I86" i="22" s="1"/>
  <c r="U42" i="33"/>
  <c r="CC14" i="72" a="1"/>
  <c r="CA14" i="72" a="1"/>
  <c r="CB14" i="72" a="1"/>
  <c r="BZ14" i="72" a="1"/>
  <c r="CB16" i="65"/>
  <c r="CB14" i="65"/>
  <c r="CB17" i="65"/>
  <c r="CB15" i="65"/>
  <c r="G6" i="45"/>
  <c r="BZ16" i="64"/>
  <c r="BZ14" i="64"/>
  <c r="BZ17" i="64"/>
  <c r="BZ15" i="64"/>
  <c r="BP14" i="72" a="1"/>
  <c r="BO14" i="72" a="1"/>
  <c r="BQ14" i="72" a="1"/>
  <c r="BN14" i="72" a="1"/>
  <c r="BO17" i="64"/>
  <c r="BO14" i="64"/>
  <c r="BO15" i="64"/>
  <c r="BO16" i="64"/>
  <c r="BC15" i="66"/>
  <c r="BC17" i="66"/>
  <c r="BC16" i="66"/>
  <c r="BC14" i="66"/>
  <c r="BZ14" i="65"/>
  <c r="BZ16" i="65"/>
  <c r="BZ15" i="65"/>
  <c r="BZ17" i="65"/>
  <c r="BA16" i="65"/>
  <c r="BA17" i="65"/>
  <c r="BA14" i="65"/>
  <c r="BA15" i="65"/>
  <c r="AZ16" i="64"/>
  <c r="AZ15" i="64"/>
  <c r="AZ14" i="64"/>
  <c r="AZ17" i="64"/>
  <c r="CC15" i="64"/>
  <c r="CC17" i="64"/>
  <c r="CC14" i="64"/>
  <c r="CC16" i="64"/>
  <c r="L8" i="45"/>
  <c r="K8" i="45"/>
  <c r="BP14" i="64"/>
  <c r="BP15" i="64"/>
  <c r="BP16" i="64"/>
  <c r="BP17" i="64"/>
  <c r="M22" i="66"/>
  <c r="M23" i="66"/>
  <c r="M24" i="66"/>
  <c r="M25" i="66"/>
  <c r="BA17" i="66"/>
  <c r="BA14" i="66"/>
  <c r="BA15" i="66"/>
  <c r="BA16" i="66"/>
  <c r="X44" i="33"/>
  <c r="W44" i="33"/>
  <c r="BP14" i="63" a="1"/>
  <c r="BQ14" i="63" a="1"/>
  <c r="BO14" i="63" a="1"/>
  <c r="BN14" i="63" a="1"/>
  <c r="CA17" i="65"/>
  <c r="CA15" i="65"/>
  <c r="CA14" i="65"/>
  <c r="CA16" i="65"/>
  <c r="T43" i="33"/>
  <c r="N90" i="22" s="1"/>
  <c r="J92" i="22" s="1"/>
  <c r="U43" i="33"/>
  <c r="L13" i="45"/>
  <c r="K13" i="45"/>
  <c r="AD4" i="33"/>
  <c r="L23" i="66"/>
  <c r="AZ15" i="65"/>
  <c r="AZ14" i="65"/>
  <c r="AZ17" i="65"/>
  <c r="AZ16" i="65"/>
  <c r="BB17" i="64"/>
  <c r="BB14" i="64"/>
  <c r="BB16" i="64"/>
  <c r="BB15" i="64"/>
  <c r="BS13" i="67" l="1" a="1"/>
  <c r="BT13" i="67" s="1"/>
  <c r="BE13" i="67" a="1"/>
  <c r="BF13" i="67" s="1"/>
  <c r="BA22" i="68"/>
  <c r="BE21" i="62" a="1"/>
  <c r="BF21" i="62" s="1"/>
  <c r="BB22" i="68"/>
  <c r="BB22" i="61"/>
  <c r="AZ25" i="68"/>
  <c r="AZ25" i="72"/>
  <c r="BA25" i="68"/>
  <c r="BA23" i="61"/>
  <c r="BA22" i="61"/>
  <c r="BC22" i="68"/>
  <c r="BA24" i="68"/>
  <c r="AZ24" i="61"/>
  <c r="AZ22" i="61"/>
  <c r="AZ24" i="72"/>
  <c r="AZ23" i="61"/>
  <c r="AZ23" i="72"/>
  <c r="BC23" i="61"/>
  <c r="BB25" i="68"/>
  <c r="BB24" i="68"/>
  <c r="BA25" i="61"/>
  <c r="AZ24" i="68"/>
  <c r="BC23" i="68"/>
  <c r="BC25" i="68"/>
  <c r="BC23" i="72"/>
  <c r="AZ24" i="70"/>
  <c r="AZ23" i="70"/>
  <c r="AZ25" i="70"/>
  <c r="AZ23" i="68"/>
  <c r="BB25" i="61"/>
  <c r="BC22" i="72"/>
  <c r="BC24" i="61"/>
  <c r="BC22" i="61"/>
  <c r="BC25" i="72"/>
  <c r="BA24" i="72"/>
  <c r="BC25" i="70"/>
  <c r="BC23" i="70"/>
  <c r="BC22" i="70"/>
  <c r="BC24" i="70"/>
  <c r="BA25" i="72"/>
  <c r="BE21" i="67" a="1"/>
  <c r="BA22" i="72"/>
  <c r="BB23" i="70"/>
  <c r="BB24" i="70"/>
  <c r="BB25" i="70"/>
  <c r="BB22" i="70"/>
  <c r="BB25" i="72"/>
  <c r="BA25" i="70"/>
  <c r="BA22" i="70"/>
  <c r="BA24" i="70"/>
  <c r="BA23" i="70"/>
  <c r="BB24" i="72"/>
  <c r="BB23" i="72"/>
  <c r="BE21" i="65" a="1"/>
  <c r="BB24" i="61"/>
  <c r="CA17" i="71"/>
  <c r="CA16" i="71"/>
  <c r="CA14" i="71"/>
  <c r="CA15" i="71"/>
  <c r="AZ24" i="71"/>
  <c r="AZ22" i="71"/>
  <c r="AZ25" i="71"/>
  <c r="AZ23" i="71"/>
  <c r="H22" i="71" a="1"/>
  <c r="CB15" i="71"/>
  <c r="CB17" i="71"/>
  <c r="CB14" i="71"/>
  <c r="CB16" i="71"/>
  <c r="E9" i="45"/>
  <c r="H9" i="45" s="1"/>
  <c r="BA23" i="71"/>
  <c r="BA24" i="71"/>
  <c r="BA25" i="71"/>
  <c r="BA22" i="71"/>
  <c r="BZ17" i="71"/>
  <c r="BZ15" i="71"/>
  <c r="BZ16" i="71"/>
  <c r="BZ14" i="71"/>
  <c r="BB23" i="71"/>
  <c r="BB25" i="71"/>
  <c r="BB22" i="71"/>
  <c r="BB24" i="71"/>
  <c r="R44" i="33"/>
  <c r="Q44" i="33"/>
  <c r="BO14" i="71"/>
  <c r="BO15" i="71"/>
  <c r="BO17" i="71"/>
  <c r="BO16" i="71"/>
  <c r="R45" i="33"/>
  <c r="Q45" i="33"/>
  <c r="AZ15" i="71"/>
  <c r="AZ14" i="71"/>
  <c r="AZ16" i="71"/>
  <c r="AZ17" i="71"/>
  <c r="R43" i="33"/>
  <c r="Q43" i="33"/>
  <c r="N88" i="22" s="1"/>
  <c r="J80" i="22" s="1"/>
  <c r="BQ17" i="71"/>
  <c r="BQ16" i="71"/>
  <c r="BQ14" i="71"/>
  <c r="BQ15" i="71"/>
  <c r="BC16" i="71"/>
  <c r="BC14" i="71"/>
  <c r="BC15" i="71"/>
  <c r="BC17" i="71"/>
  <c r="BN15" i="71"/>
  <c r="BN17" i="71"/>
  <c r="BN14" i="71"/>
  <c r="BN16" i="71"/>
  <c r="Q42" i="33"/>
  <c r="N87" i="22" s="1"/>
  <c r="I79" i="22" s="1"/>
  <c r="R42" i="33"/>
  <c r="BB14" i="71"/>
  <c r="BB16" i="71"/>
  <c r="BB15" i="71"/>
  <c r="BB17" i="71"/>
  <c r="CC17" i="71"/>
  <c r="CC14" i="71"/>
  <c r="CC16" i="71"/>
  <c r="CC15" i="71"/>
  <c r="BP16" i="71"/>
  <c r="BP17" i="71"/>
  <c r="BP14" i="71"/>
  <c r="BP15" i="71"/>
  <c r="BC22" i="71"/>
  <c r="BC23" i="71"/>
  <c r="BC25" i="71"/>
  <c r="BC24" i="71"/>
  <c r="BA17" i="71"/>
  <c r="BA14" i="71"/>
  <c r="BA16" i="71"/>
  <c r="BA15" i="71"/>
  <c r="BA25" i="63"/>
  <c r="BA24" i="63"/>
  <c r="BA22" i="63"/>
  <c r="BA23" i="63"/>
  <c r="BC24" i="63"/>
  <c r="BC23" i="63"/>
  <c r="BC22" i="63"/>
  <c r="BC25" i="63"/>
  <c r="BB24" i="63"/>
  <c r="BB23" i="63"/>
  <c r="BB25" i="63"/>
  <c r="BB22" i="63"/>
  <c r="AZ24" i="63"/>
  <c r="AZ22" i="63"/>
  <c r="AZ23" i="63"/>
  <c r="AZ25" i="63"/>
  <c r="BE21" i="64" a="1"/>
  <c r="B44" i="33"/>
  <c r="C44" i="33"/>
  <c r="CB16" i="61"/>
  <c r="CB17" i="61"/>
  <c r="CB14" i="61"/>
  <c r="CB15" i="61"/>
  <c r="BA14" i="61"/>
  <c r="BA16" i="61"/>
  <c r="BA15" i="61"/>
  <c r="BA17" i="61"/>
  <c r="B45" i="33"/>
  <c r="C45" i="33"/>
  <c r="CC14" i="61"/>
  <c r="CC16" i="61"/>
  <c r="CC15" i="61"/>
  <c r="CC17" i="61"/>
  <c r="C42" i="33"/>
  <c r="B42" i="33"/>
  <c r="N77" i="22" s="1"/>
  <c r="I83" i="22" s="1"/>
  <c r="B43" i="33"/>
  <c r="N78" i="22" s="1"/>
  <c r="I77" i="22" s="1"/>
  <c r="C43" i="33"/>
  <c r="AZ16" i="61"/>
  <c r="AZ17" i="61"/>
  <c r="AZ15" i="61"/>
  <c r="AZ14" i="61"/>
  <c r="CA15" i="61"/>
  <c r="CA16" i="61"/>
  <c r="CA17" i="61"/>
  <c r="CA14" i="61"/>
  <c r="BC17" i="61"/>
  <c r="BC16" i="61"/>
  <c r="BC15" i="61"/>
  <c r="BC14" i="61"/>
  <c r="BZ14" i="61"/>
  <c r="BZ17" i="61"/>
  <c r="BZ15" i="61"/>
  <c r="BZ16" i="61"/>
  <c r="BB16" i="61"/>
  <c r="BB14" i="61"/>
  <c r="BB15" i="61"/>
  <c r="BB17" i="61"/>
  <c r="BP16" i="61"/>
  <c r="BP17" i="61"/>
  <c r="BP14" i="61"/>
  <c r="BP15" i="61"/>
  <c r="E4" i="45"/>
  <c r="H4" i="45" s="1"/>
  <c r="BN17" i="61"/>
  <c r="BN14" i="61"/>
  <c r="BN15" i="61"/>
  <c r="BN16" i="61"/>
  <c r="H22" i="61" a="1"/>
  <c r="BQ17" i="61"/>
  <c r="BQ14" i="61"/>
  <c r="BQ15" i="61"/>
  <c r="BQ16" i="61"/>
  <c r="BO14" i="61"/>
  <c r="BO16" i="61"/>
  <c r="BO17" i="61"/>
  <c r="BO15" i="61"/>
  <c r="BB17" i="70"/>
  <c r="BB14" i="70"/>
  <c r="BB16" i="70"/>
  <c r="BB15" i="70"/>
  <c r="BZ15" i="70"/>
  <c r="BZ17" i="70"/>
  <c r="BZ14" i="70"/>
  <c r="BZ16" i="70"/>
  <c r="AZ17" i="70"/>
  <c r="AZ16" i="70"/>
  <c r="AZ15" i="70"/>
  <c r="AZ14" i="70"/>
  <c r="L45" i="33"/>
  <c r="K45" i="33"/>
  <c r="CB14" i="70"/>
  <c r="CB15" i="70"/>
  <c r="CB16" i="70"/>
  <c r="CB17" i="70"/>
  <c r="K42" i="33"/>
  <c r="N83" i="22" s="1"/>
  <c r="I85" i="22" s="1"/>
  <c r="L42" i="33"/>
  <c r="BC14" i="70"/>
  <c r="BC16" i="70"/>
  <c r="BC15" i="70"/>
  <c r="BC17" i="70"/>
  <c r="CC17" i="70"/>
  <c r="CC14" i="70"/>
  <c r="CC15" i="70"/>
  <c r="CC16" i="70"/>
  <c r="BA16" i="70"/>
  <c r="BA17" i="70"/>
  <c r="BA14" i="70"/>
  <c r="BA15" i="70"/>
  <c r="CA14" i="70"/>
  <c r="CA17" i="70"/>
  <c r="CA16" i="70"/>
  <c r="CA15" i="70"/>
  <c r="H22" i="70" a="1"/>
  <c r="BP15" i="70"/>
  <c r="BP16" i="70"/>
  <c r="BP17" i="70"/>
  <c r="BP14" i="70"/>
  <c r="K44" i="33"/>
  <c r="L44" i="33"/>
  <c r="BO14" i="70"/>
  <c r="BO15" i="70"/>
  <c r="BO16" i="70"/>
  <c r="BO17" i="70"/>
  <c r="E7" i="45"/>
  <c r="H7" i="45" s="1"/>
  <c r="BN17" i="70"/>
  <c r="BN14" i="70"/>
  <c r="BN15" i="70"/>
  <c r="BN16" i="70"/>
  <c r="L43" i="33"/>
  <c r="K43" i="33"/>
  <c r="N84" i="22" s="1"/>
  <c r="I92" i="22" s="1"/>
  <c r="BQ14" i="70"/>
  <c r="BQ15" i="70"/>
  <c r="BQ16" i="70"/>
  <c r="BQ17" i="70"/>
  <c r="CE13" i="62" a="1"/>
  <c r="I22" i="62"/>
  <c r="H25" i="62"/>
  <c r="H24" i="62"/>
  <c r="I25" i="62"/>
  <c r="J24" i="62"/>
  <c r="H23" i="62"/>
  <c r="I24" i="62"/>
  <c r="K25" i="62"/>
  <c r="K24" i="62"/>
  <c r="J23" i="62"/>
  <c r="I23" i="62"/>
  <c r="H22" i="62"/>
  <c r="K23" i="62"/>
  <c r="K22" i="62"/>
  <c r="J25" i="62"/>
  <c r="J22" i="62"/>
  <c r="BE13" i="62" a="1"/>
  <c r="BS13" i="62" a="1"/>
  <c r="AR50" i="33"/>
  <c r="D110" i="48"/>
  <c r="I50" i="33"/>
  <c r="E94" i="48"/>
  <c r="AD50" i="33"/>
  <c r="K25" i="69"/>
  <c r="J22" i="69"/>
  <c r="K24" i="69"/>
  <c r="I25" i="69"/>
  <c r="K23" i="69"/>
  <c r="I24" i="69"/>
  <c r="H25" i="69"/>
  <c r="K22" i="69"/>
  <c r="I23" i="69"/>
  <c r="H24" i="69"/>
  <c r="I22" i="69"/>
  <c r="H23" i="69"/>
  <c r="J25" i="69"/>
  <c r="J23" i="69"/>
  <c r="H22" i="69"/>
  <c r="J24" i="69"/>
  <c r="BE13" i="69" a="1"/>
  <c r="E50" i="33"/>
  <c r="BS13" i="69" a="1"/>
  <c r="CE13" i="69" a="1"/>
  <c r="CA15" i="68"/>
  <c r="CA14" i="68"/>
  <c r="CA17" i="68"/>
  <c r="CA16" i="68"/>
  <c r="BQ15" i="68"/>
  <c r="BQ16" i="68"/>
  <c r="BQ17" i="68"/>
  <c r="BQ14" i="68"/>
  <c r="BP17" i="68"/>
  <c r="BP14" i="68"/>
  <c r="BP15" i="68"/>
  <c r="BP16" i="68"/>
  <c r="AZ16" i="68"/>
  <c r="AZ15" i="68"/>
  <c r="AZ17" i="68"/>
  <c r="AZ14" i="68"/>
  <c r="AF44" i="33"/>
  <c r="AG44" i="33"/>
  <c r="H22" i="68" a="1"/>
  <c r="BO17" i="68"/>
  <c r="BO14" i="68"/>
  <c r="BO15" i="68"/>
  <c r="BO16" i="68"/>
  <c r="BA14" i="68"/>
  <c r="BA15" i="68"/>
  <c r="BA16" i="68"/>
  <c r="BA17" i="68"/>
  <c r="BC14" i="68"/>
  <c r="BC16" i="68"/>
  <c r="BC17" i="68"/>
  <c r="BC15" i="68"/>
  <c r="BB14" i="68"/>
  <c r="BB17" i="68"/>
  <c r="BB15" i="68"/>
  <c r="BB16" i="68"/>
  <c r="BZ16" i="68"/>
  <c r="BZ17" i="68"/>
  <c r="BZ14" i="68"/>
  <c r="BZ15" i="68"/>
  <c r="E14" i="45"/>
  <c r="H14" i="45" s="1"/>
  <c r="CC17" i="68"/>
  <c r="CC15" i="68"/>
  <c r="CC16" i="68"/>
  <c r="CC14" i="68"/>
  <c r="AF45" i="33"/>
  <c r="AG45" i="33"/>
  <c r="AF43" i="33"/>
  <c r="N98" i="22" s="1"/>
  <c r="I87" i="22" s="1"/>
  <c r="D109" i="48" s="1"/>
  <c r="AG43" i="33"/>
  <c r="AF42" i="33"/>
  <c r="N97" i="22" s="1"/>
  <c r="I91" i="22" s="1"/>
  <c r="AG42" i="33"/>
  <c r="CB14" i="68"/>
  <c r="CB17" i="68"/>
  <c r="CB16" i="68"/>
  <c r="CB15" i="68"/>
  <c r="BN15" i="68"/>
  <c r="BN16" i="68"/>
  <c r="BN17" i="68"/>
  <c r="BN14" i="68"/>
  <c r="CH13" i="67"/>
  <c r="CE13" i="67"/>
  <c r="CG13" i="67"/>
  <c r="CF13" i="67"/>
  <c r="AI50" i="33"/>
  <c r="D104" i="48"/>
  <c r="O50" i="33"/>
  <c r="BG13" i="67"/>
  <c r="BE13" i="67"/>
  <c r="BU13" i="67"/>
  <c r="BV13" i="67"/>
  <c r="BS13" i="67"/>
  <c r="I25" i="67"/>
  <c r="K25" i="67"/>
  <c r="H22" i="67"/>
  <c r="I24" i="67"/>
  <c r="K24" i="67"/>
  <c r="H25" i="67"/>
  <c r="J25" i="67"/>
  <c r="J24" i="67"/>
  <c r="J22" i="67"/>
  <c r="I23" i="67"/>
  <c r="K23" i="67"/>
  <c r="J23" i="67"/>
  <c r="I22" i="67"/>
  <c r="K22" i="67"/>
  <c r="H24" i="67"/>
  <c r="H23" i="67"/>
  <c r="CE13" i="66" a="1"/>
  <c r="H22" i="63" a="1"/>
  <c r="BN17" i="63"/>
  <c r="BN16" i="63"/>
  <c r="BN15" i="63"/>
  <c r="BN14" i="63"/>
  <c r="CB16" i="72"/>
  <c r="CB14" i="72"/>
  <c r="CB17" i="72"/>
  <c r="CB15" i="72"/>
  <c r="N42" i="33"/>
  <c r="N85" i="22" s="1"/>
  <c r="I78" i="22" s="1"/>
  <c r="O42" i="33"/>
  <c r="CC14" i="63"/>
  <c r="CC16" i="63"/>
  <c r="CC15" i="63"/>
  <c r="CC17" i="63"/>
  <c r="BS13" i="66" a="1"/>
  <c r="H22" i="66" a="1"/>
  <c r="BO14" i="63"/>
  <c r="BO17" i="63"/>
  <c r="BO15" i="63"/>
  <c r="BO16" i="63"/>
  <c r="CA17" i="72"/>
  <c r="CA14" i="72"/>
  <c r="CA15" i="72"/>
  <c r="CA16" i="72"/>
  <c r="CA16" i="63"/>
  <c r="CA17" i="63"/>
  <c r="CA14" i="63"/>
  <c r="CA15" i="63"/>
  <c r="BS13" i="64" a="1"/>
  <c r="BC16" i="72"/>
  <c r="BC15" i="72"/>
  <c r="BC17" i="72"/>
  <c r="BC14" i="72"/>
  <c r="AD45" i="33"/>
  <c r="AC45" i="33"/>
  <c r="BS13" i="65" a="1"/>
  <c r="BZ15" i="72"/>
  <c r="BZ16" i="72"/>
  <c r="BZ14" i="72"/>
  <c r="BZ17" i="72"/>
  <c r="BE13" i="66" a="1"/>
  <c r="AD42" i="33"/>
  <c r="AC42" i="33"/>
  <c r="N95" i="22" s="1"/>
  <c r="I90" i="22" s="1"/>
  <c r="BQ15" i="63"/>
  <c r="BQ16" i="63"/>
  <c r="BQ17" i="63"/>
  <c r="BQ14" i="63"/>
  <c r="CC17" i="72"/>
  <c r="CC14" i="72"/>
  <c r="CC16" i="72"/>
  <c r="CC15" i="72"/>
  <c r="O44" i="33"/>
  <c r="N44" i="33"/>
  <c r="CB14" i="63"/>
  <c r="CB17" i="63"/>
  <c r="CB15" i="63"/>
  <c r="CB16" i="63"/>
  <c r="E6" i="45"/>
  <c r="H6" i="45" s="1"/>
  <c r="AZ14" i="72"/>
  <c r="AZ15" i="72"/>
  <c r="AZ17" i="72"/>
  <c r="AZ16" i="72"/>
  <c r="BC14" i="63"/>
  <c r="BC17" i="63"/>
  <c r="BC16" i="63"/>
  <c r="BC15" i="63"/>
  <c r="CE13" i="64" a="1"/>
  <c r="BP17" i="63"/>
  <c r="BP14" i="63"/>
  <c r="BP16" i="63"/>
  <c r="BP15" i="63"/>
  <c r="H43" i="33"/>
  <c r="N82" i="22" s="1"/>
  <c r="J79" i="22" s="1"/>
  <c r="I43" i="33"/>
  <c r="BB14" i="72"/>
  <c r="BB16" i="72"/>
  <c r="BB15" i="72"/>
  <c r="BB17" i="72"/>
  <c r="BA17" i="63"/>
  <c r="BA15" i="63"/>
  <c r="BA16" i="63"/>
  <c r="BA14" i="63"/>
  <c r="AM50" i="33"/>
  <c r="E112" i="48"/>
  <c r="BP15" i="72"/>
  <c r="BP14" i="72"/>
  <c r="BP16" i="72"/>
  <c r="BP17" i="72"/>
  <c r="CE13" i="65" a="1"/>
  <c r="BZ16" i="63"/>
  <c r="BZ14" i="63"/>
  <c r="BZ17" i="63"/>
  <c r="BZ15" i="63"/>
  <c r="BE13" i="65" a="1"/>
  <c r="AP50" i="33"/>
  <c r="BN17" i="72"/>
  <c r="BN16" i="72"/>
  <c r="BN15" i="72"/>
  <c r="BN14" i="72"/>
  <c r="BQ16" i="72"/>
  <c r="BQ15" i="72"/>
  <c r="BQ17" i="72"/>
  <c r="BQ14" i="72"/>
  <c r="W50" i="33"/>
  <c r="D106" i="48"/>
  <c r="H22" i="72" a="1"/>
  <c r="BA15" i="72"/>
  <c r="BA16" i="72"/>
  <c r="BA14" i="72"/>
  <c r="BA17" i="72"/>
  <c r="BB17" i="63"/>
  <c r="BB14" i="63"/>
  <c r="BB16" i="63"/>
  <c r="BB15" i="63"/>
  <c r="N43" i="33"/>
  <c r="N86" i="22" s="1"/>
  <c r="I82" i="22" s="1"/>
  <c r="D100" i="48" s="1"/>
  <c r="O43" i="33"/>
  <c r="H42" i="33"/>
  <c r="N81" i="22" s="1"/>
  <c r="I80" i="22" s="1"/>
  <c r="I42" i="33"/>
  <c r="AC43" i="33"/>
  <c r="N96" i="22" s="1"/>
  <c r="J88" i="22" s="1"/>
  <c r="E108" i="48" s="1"/>
  <c r="AD43" i="33"/>
  <c r="BE13" i="64" a="1"/>
  <c r="BO15" i="72"/>
  <c r="BO16" i="72"/>
  <c r="BO17" i="72"/>
  <c r="BO14" i="72"/>
  <c r="Q50" i="33"/>
  <c r="E8" i="45"/>
  <c r="H8" i="45" s="1"/>
  <c r="H44" i="33"/>
  <c r="I44" i="33"/>
  <c r="E13" i="45"/>
  <c r="H13" i="45" s="1"/>
  <c r="AZ16" i="63"/>
  <c r="AZ15" i="63"/>
  <c r="AZ17" i="63"/>
  <c r="AZ14" i="63"/>
  <c r="H45" i="33"/>
  <c r="I45" i="33"/>
  <c r="O45" i="33"/>
  <c r="N45" i="33"/>
  <c r="J25" i="65"/>
  <c r="J24" i="65"/>
  <c r="J23" i="65"/>
  <c r="J22" i="65"/>
  <c r="H25" i="65"/>
  <c r="H24" i="65"/>
  <c r="H23" i="65"/>
  <c r="H22" i="65"/>
  <c r="K25" i="65"/>
  <c r="K24" i="65"/>
  <c r="K23" i="65"/>
  <c r="K22" i="65"/>
  <c r="I22" i="65"/>
  <c r="I25" i="65"/>
  <c r="I24" i="65"/>
  <c r="I23" i="65"/>
  <c r="AC44" i="33"/>
  <c r="AD44" i="33"/>
  <c r="K25" i="64"/>
  <c r="K24" i="64"/>
  <c r="K23" i="64"/>
  <c r="K22" i="64"/>
  <c r="J25" i="64"/>
  <c r="J24" i="64"/>
  <c r="J23" i="64"/>
  <c r="J22" i="64"/>
  <c r="I25" i="64"/>
  <c r="I24" i="64"/>
  <c r="I23" i="64"/>
  <c r="I22" i="64"/>
  <c r="H25" i="64"/>
  <c r="H24" i="64"/>
  <c r="H23" i="64"/>
  <c r="H22" i="64"/>
  <c r="BH13" i="67" l="1"/>
  <c r="BH21" i="62"/>
  <c r="BG21" i="62"/>
  <c r="BE21" i="62"/>
  <c r="BE21" i="61" a="1"/>
  <c r="BH21" i="61" s="1"/>
  <c r="BE21" i="72" a="1"/>
  <c r="BG21" i="72" s="1"/>
  <c r="BE21" i="70" a="1"/>
  <c r="BG21" i="70" s="1"/>
  <c r="BE21" i="68" a="1"/>
  <c r="BH21" i="68" s="1"/>
  <c r="BE21" i="67"/>
  <c r="BF21" i="67"/>
  <c r="BG21" i="67"/>
  <c r="BH21" i="67"/>
  <c r="BE21" i="65"/>
  <c r="BF21" i="65"/>
  <c r="BG21" i="65"/>
  <c r="BH21" i="65"/>
  <c r="AA50" i="33"/>
  <c r="E98" i="48"/>
  <c r="I24" i="71"/>
  <c r="H25" i="71"/>
  <c r="J24" i="71"/>
  <c r="I22" i="71"/>
  <c r="K25" i="71"/>
  <c r="K23" i="71"/>
  <c r="H24" i="71"/>
  <c r="J22" i="71"/>
  <c r="I25" i="71"/>
  <c r="I23" i="71"/>
  <c r="J23" i="71"/>
  <c r="H22" i="71"/>
  <c r="K24" i="71"/>
  <c r="J25" i="71"/>
  <c r="H23" i="71"/>
  <c r="K22" i="71"/>
  <c r="K50" i="33"/>
  <c r="D97" i="48"/>
  <c r="BE13" i="71" a="1"/>
  <c r="BE21" i="71" a="1"/>
  <c r="BS13" i="71" a="1"/>
  <c r="CE13" i="71" a="1"/>
  <c r="BE21" i="64"/>
  <c r="BF21" i="64"/>
  <c r="BG21" i="64"/>
  <c r="BH21" i="64"/>
  <c r="BE21" i="63" a="1"/>
  <c r="BS13" i="61" a="1"/>
  <c r="BE13" i="61" a="1"/>
  <c r="H21" i="45"/>
  <c r="H27" i="45"/>
  <c r="H25" i="45"/>
  <c r="H26" i="45"/>
  <c r="H28" i="45"/>
  <c r="H23" i="45"/>
  <c r="H20" i="45"/>
  <c r="H24" i="45"/>
  <c r="H19" i="45"/>
  <c r="H17" i="45"/>
  <c r="H18" i="45"/>
  <c r="H22" i="45"/>
  <c r="J22" i="61"/>
  <c r="I23" i="61"/>
  <c r="H22" i="61"/>
  <c r="K23" i="61"/>
  <c r="I25" i="61"/>
  <c r="J25" i="61"/>
  <c r="K25" i="61"/>
  <c r="I22" i="61"/>
  <c r="J24" i="61"/>
  <c r="K22" i="61"/>
  <c r="H25" i="61"/>
  <c r="H24" i="61"/>
  <c r="J23" i="61"/>
  <c r="I24" i="61"/>
  <c r="H23" i="61"/>
  <c r="K24" i="61"/>
  <c r="D94" i="48"/>
  <c r="H50" i="33"/>
  <c r="CE13" i="61" a="1"/>
  <c r="AF50" i="33"/>
  <c r="D102" i="48"/>
  <c r="BE13" i="70" a="1"/>
  <c r="T50" i="33"/>
  <c r="D105" i="48"/>
  <c r="AO50" i="33"/>
  <c r="D114" i="48"/>
  <c r="H25" i="70"/>
  <c r="I24" i="70"/>
  <c r="H23" i="70"/>
  <c r="I22" i="70"/>
  <c r="K25" i="70"/>
  <c r="K24" i="70"/>
  <c r="K23" i="70"/>
  <c r="K22" i="70"/>
  <c r="J25" i="70"/>
  <c r="J24" i="70"/>
  <c r="J23" i="70"/>
  <c r="J22" i="70"/>
  <c r="I25" i="70"/>
  <c r="H24" i="70"/>
  <c r="I23" i="70"/>
  <c r="H22" i="70"/>
  <c r="CE13" i="70" a="1"/>
  <c r="BS13" i="70" a="1"/>
  <c r="BH13" i="62"/>
  <c r="BE13" i="62"/>
  <c r="BF13" i="62"/>
  <c r="BG13" i="62"/>
  <c r="CE13" i="62"/>
  <c r="CH13" i="62"/>
  <c r="CF13" i="62"/>
  <c r="CG13" i="62"/>
  <c r="BS13" i="62"/>
  <c r="BV13" i="62"/>
  <c r="BU13" i="62"/>
  <c r="BT13" i="62"/>
  <c r="BV13" i="69"/>
  <c r="BS13" i="69"/>
  <c r="BT13" i="69"/>
  <c r="BU13" i="69"/>
  <c r="BF13" i="69"/>
  <c r="BH13" i="69"/>
  <c r="BG13" i="69"/>
  <c r="BE13" i="69"/>
  <c r="CG13" i="69"/>
  <c r="CE13" i="69"/>
  <c r="CF13" i="69"/>
  <c r="CH13" i="69"/>
  <c r="CE13" i="68" a="1"/>
  <c r="BE13" i="68" a="1"/>
  <c r="D113" i="48"/>
  <c r="AU50" i="33"/>
  <c r="H24" i="68"/>
  <c r="J24" i="68"/>
  <c r="H23" i="68"/>
  <c r="I24" i="68"/>
  <c r="H22" i="68"/>
  <c r="J23" i="68"/>
  <c r="K25" i="68"/>
  <c r="I23" i="68"/>
  <c r="K24" i="68"/>
  <c r="J22" i="68"/>
  <c r="K23" i="68"/>
  <c r="I22" i="68"/>
  <c r="J25" i="68"/>
  <c r="K22" i="68"/>
  <c r="H25" i="68"/>
  <c r="I25" i="68"/>
  <c r="N50" i="33"/>
  <c r="D108" i="48"/>
  <c r="BS13" i="68" a="1"/>
  <c r="BS14" i="67" a="1"/>
  <c r="BE14" i="67" a="1"/>
  <c r="CE14" i="67" a="1"/>
  <c r="BT13" i="65"/>
  <c r="BU13" i="65"/>
  <c r="BV13" i="65"/>
  <c r="BS13" i="65"/>
  <c r="B50" i="33"/>
  <c r="D96" i="48"/>
  <c r="H25" i="63"/>
  <c r="H24" i="63"/>
  <c r="H23" i="63"/>
  <c r="H22" i="63"/>
  <c r="K25" i="63"/>
  <c r="K24" i="63"/>
  <c r="K23" i="63"/>
  <c r="K22" i="63"/>
  <c r="J25" i="63"/>
  <c r="J24" i="63"/>
  <c r="J23" i="63"/>
  <c r="J22" i="63"/>
  <c r="I25" i="63"/>
  <c r="I24" i="63"/>
  <c r="I23" i="63"/>
  <c r="I22" i="63"/>
  <c r="R50" i="33"/>
  <c r="E109" i="48"/>
  <c r="BH13" i="66"/>
  <c r="BG13" i="66"/>
  <c r="BF13" i="66"/>
  <c r="BE13" i="66"/>
  <c r="BF13" i="64"/>
  <c r="BE13" i="64"/>
  <c r="BH13" i="64"/>
  <c r="BG13" i="64"/>
  <c r="CE13" i="63" a="1"/>
  <c r="J25" i="72"/>
  <c r="J24" i="72"/>
  <c r="J23" i="72"/>
  <c r="J22" i="72"/>
  <c r="H25" i="72"/>
  <c r="H24" i="72"/>
  <c r="H23" i="72"/>
  <c r="H22" i="72"/>
  <c r="K25" i="72"/>
  <c r="K24" i="72"/>
  <c r="K23" i="72"/>
  <c r="K22" i="72"/>
  <c r="I25" i="72"/>
  <c r="I24" i="72"/>
  <c r="I23" i="72"/>
  <c r="I22" i="72"/>
  <c r="L50" i="33"/>
  <c r="CE13" i="72" a="1"/>
  <c r="Z50" i="33"/>
  <c r="D98" i="48"/>
  <c r="BS13" i="66"/>
  <c r="BT13" i="66"/>
  <c r="BU13" i="66"/>
  <c r="BV13" i="66"/>
  <c r="CE13" i="66"/>
  <c r="CG13" i="66"/>
  <c r="CF13" i="66"/>
  <c r="CH13" i="66"/>
  <c r="D112" i="48"/>
  <c r="AL50" i="33"/>
  <c r="BS13" i="64"/>
  <c r="BT13" i="64"/>
  <c r="BU13" i="64"/>
  <c r="BV13" i="64"/>
  <c r="K25" i="66"/>
  <c r="K24" i="66"/>
  <c r="K23" i="66"/>
  <c r="K22" i="66"/>
  <c r="J25" i="66"/>
  <c r="J24" i="66"/>
  <c r="J23" i="66"/>
  <c r="J22" i="66"/>
  <c r="I25" i="66"/>
  <c r="I24" i="66"/>
  <c r="I23" i="66"/>
  <c r="I22" i="66"/>
  <c r="H25" i="66"/>
  <c r="H24" i="66"/>
  <c r="H23" i="66"/>
  <c r="H22" i="66"/>
  <c r="BE13" i="63" a="1"/>
  <c r="AC50" i="33"/>
  <c r="D101" i="48"/>
  <c r="BF13" i="65"/>
  <c r="BE13" i="65"/>
  <c r="BH13" i="65"/>
  <c r="BG13" i="65"/>
  <c r="CH13" i="64"/>
  <c r="CE13" i="64"/>
  <c r="CG13" i="64"/>
  <c r="CF13" i="64"/>
  <c r="BE13" i="72" a="1"/>
  <c r="BS13" i="72" a="1"/>
  <c r="CF13" i="65"/>
  <c r="CH13" i="65"/>
  <c r="CE13" i="65"/>
  <c r="CG13" i="65"/>
  <c r="BS13" i="63" a="1"/>
  <c r="BE22" i="62" l="1" a="1"/>
  <c r="BE25" i="62" s="1"/>
  <c r="BH21" i="72"/>
  <c r="BE21" i="61"/>
  <c r="BG21" i="61"/>
  <c r="BF21" i="61"/>
  <c r="BF21" i="72"/>
  <c r="BG21" i="68"/>
  <c r="BF21" i="68"/>
  <c r="BE21" i="68"/>
  <c r="BE21" i="72"/>
  <c r="BF21" i="70"/>
  <c r="BE21" i="70"/>
  <c r="BH21" i="70"/>
  <c r="BE22" i="67" a="1"/>
  <c r="BE22" i="65" a="1"/>
  <c r="BH13" i="71"/>
  <c r="BG13" i="71"/>
  <c r="BF13" i="71"/>
  <c r="BE13" i="71"/>
  <c r="BG21" i="71"/>
  <c r="BE21" i="71"/>
  <c r="BH21" i="71"/>
  <c r="BF21" i="71"/>
  <c r="BV13" i="71"/>
  <c r="BS13" i="71"/>
  <c r="BT13" i="71"/>
  <c r="BU13" i="71"/>
  <c r="CH13" i="71"/>
  <c r="CE13" i="71"/>
  <c r="CG13" i="71"/>
  <c r="CF13" i="71"/>
  <c r="BE21" i="63"/>
  <c r="BF21" i="63"/>
  <c r="BG21" i="63"/>
  <c r="BH21" i="63"/>
  <c r="BE22" i="64" a="1"/>
  <c r="C23" i="45"/>
  <c r="G23" i="45"/>
  <c r="P23" i="45" s="1"/>
  <c r="E23" i="45"/>
  <c r="F23" i="45"/>
  <c r="N23" i="45" s="1"/>
  <c r="D23" i="45"/>
  <c r="I23" i="45"/>
  <c r="BG13" i="61"/>
  <c r="BE13" i="61"/>
  <c r="BH13" i="61"/>
  <c r="BF13" i="61"/>
  <c r="D28" i="45"/>
  <c r="G28" i="45"/>
  <c r="P28" i="45" s="1"/>
  <c r="F28" i="45"/>
  <c r="N28" i="45" s="1"/>
  <c r="E28" i="45"/>
  <c r="C28" i="45"/>
  <c r="I28" i="45"/>
  <c r="CE13" i="61"/>
  <c r="CF13" i="61"/>
  <c r="CG13" i="61"/>
  <c r="CH13" i="61"/>
  <c r="F22" i="45"/>
  <c r="N22" i="45" s="1"/>
  <c r="E22" i="45"/>
  <c r="C22" i="45"/>
  <c r="G22" i="45"/>
  <c r="P22" i="45" s="1"/>
  <c r="I22" i="45"/>
  <c r="D22" i="45"/>
  <c r="C26" i="45"/>
  <c r="F26" i="45"/>
  <c r="N26" i="45" s="1"/>
  <c r="E26" i="45"/>
  <c r="I26" i="45"/>
  <c r="G26" i="45"/>
  <c r="P26" i="45" s="1"/>
  <c r="D26" i="45"/>
  <c r="F18" i="45"/>
  <c r="N18" i="45" s="1"/>
  <c r="C18" i="45"/>
  <c r="G18" i="45"/>
  <c r="P18" i="45" s="1"/>
  <c r="E18" i="45"/>
  <c r="D18" i="45"/>
  <c r="I18" i="45"/>
  <c r="D25" i="45"/>
  <c r="G25" i="45"/>
  <c r="P25" i="45" s="1"/>
  <c r="C25" i="45"/>
  <c r="I25" i="45"/>
  <c r="E25" i="45"/>
  <c r="F25" i="45"/>
  <c r="N25" i="45" s="1"/>
  <c r="I17" i="45"/>
  <c r="D17" i="45"/>
  <c r="E17" i="45"/>
  <c r="C17" i="45"/>
  <c r="F17" i="45"/>
  <c r="N17" i="45" s="1"/>
  <c r="G17" i="45"/>
  <c r="P17" i="45" s="1"/>
  <c r="E27" i="45"/>
  <c r="D27" i="45"/>
  <c r="G27" i="45"/>
  <c r="P27" i="45" s="1"/>
  <c r="C27" i="45"/>
  <c r="F27" i="45"/>
  <c r="N27" i="45" s="1"/>
  <c r="I27" i="45"/>
  <c r="E19" i="45"/>
  <c r="G19" i="45"/>
  <c r="P19" i="45" s="1"/>
  <c r="F19" i="45"/>
  <c r="N19" i="45" s="1"/>
  <c r="C19" i="45"/>
  <c r="I19" i="45"/>
  <c r="D19" i="45"/>
  <c r="G21" i="45"/>
  <c r="P21" i="45" s="1"/>
  <c r="F21" i="45"/>
  <c r="N21" i="45" s="1"/>
  <c r="E21" i="45"/>
  <c r="C21" i="45"/>
  <c r="D21" i="45"/>
  <c r="I21" i="45"/>
  <c r="D24" i="45"/>
  <c r="I24" i="45"/>
  <c r="I33" i="45"/>
  <c r="AL30" i="33" s="1"/>
  <c r="C24" i="45"/>
  <c r="E24" i="45"/>
  <c r="G24" i="45"/>
  <c r="P24" i="45" s="1"/>
  <c r="F24" i="45"/>
  <c r="N24" i="45" s="1"/>
  <c r="BT13" i="61"/>
  <c r="BS13" i="61"/>
  <c r="BU13" i="61"/>
  <c r="BV13" i="61"/>
  <c r="C20" i="45"/>
  <c r="D20" i="45"/>
  <c r="I20" i="45"/>
  <c r="E20" i="45"/>
  <c r="G20" i="45"/>
  <c r="P20" i="45" s="1"/>
  <c r="F20" i="45"/>
  <c r="N20" i="45" s="1"/>
  <c r="CF13" i="70"/>
  <c r="CE13" i="70"/>
  <c r="CH13" i="70"/>
  <c r="CG13" i="70"/>
  <c r="BU13" i="70"/>
  <c r="BT13" i="70"/>
  <c r="BV13" i="70"/>
  <c r="BS13" i="70"/>
  <c r="BG13" i="70"/>
  <c r="BF13" i="70"/>
  <c r="BE13" i="70"/>
  <c r="BH13" i="70"/>
  <c r="BE14" i="62" a="1"/>
  <c r="BS14" i="62" a="1"/>
  <c r="BG24" i="62"/>
  <c r="BH22" i="62"/>
  <c r="CE14" i="62" a="1"/>
  <c r="BE14" i="69" a="1"/>
  <c r="CE14" i="69" a="1"/>
  <c r="BS14" i="69" a="1"/>
  <c r="BH13" i="68"/>
  <c r="BG13" i="68"/>
  <c r="BF13" i="68"/>
  <c r="BE13" i="68"/>
  <c r="CH13" i="68"/>
  <c r="CE13" i="68"/>
  <c r="CG13" i="68"/>
  <c r="CF13" i="68"/>
  <c r="BT13" i="68"/>
  <c r="BU13" i="68"/>
  <c r="BV13" i="68"/>
  <c r="BS13" i="68"/>
  <c r="BH17" i="67"/>
  <c r="BF17" i="67"/>
  <c r="BH16" i="67"/>
  <c r="BF16" i="67"/>
  <c r="BH15" i="67"/>
  <c r="BF15" i="67"/>
  <c r="BH14" i="67"/>
  <c r="BF14" i="67"/>
  <c r="BG17" i="67"/>
  <c r="BE17" i="67"/>
  <c r="BG16" i="67"/>
  <c r="BE16" i="67"/>
  <c r="BG15" i="67"/>
  <c r="BE15" i="67"/>
  <c r="BG14" i="67"/>
  <c r="BE14" i="67"/>
  <c r="CF15" i="67"/>
  <c r="CH15" i="67"/>
  <c r="CF16" i="67"/>
  <c r="CH14" i="67"/>
  <c r="CF14" i="67"/>
  <c r="CH16" i="67"/>
  <c r="CE16" i="67"/>
  <c r="CG15" i="67"/>
  <c r="CE15" i="67"/>
  <c r="CG17" i="67"/>
  <c r="CE14" i="67"/>
  <c r="CG16" i="67"/>
  <c r="CE17" i="67"/>
  <c r="CG14" i="67"/>
  <c r="CF17" i="67"/>
  <c r="CH17" i="67"/>
  <c r="BV15" i="67"/>
  <c r="BU14" i="67"/>
  <c r="BT16" i="67"/>
  <c r="BT17" i="67"/>
  <c r="BT14" i="67"/>
  <c r="BT15" i="67"/>
  <c r="BS16" i="67"/>
  <c r="BS17" i="67"/>
  <c r="BS14" i="67"/>
  <c r="BS15" i="67"/>
  <c r="BU17" i="67"/>
  <c r="BV16" i="67"/>
  <c r="BU15" i="67"/>
  <c r="BV14" i="67"/>
  <c r="BV17" i="67"/>
  <c r="BU16" i="67"/>
  <c r="BE13" i="72"/>
  <c r="BH13" i="72"/>
  <c r="BG13" i="72"/>
  <c r="BF13" i="72"/>
  <c r="CE14" i="64" a="1"/>
  <c r="CE14" i="66" a="1"/>
  <c r="BE14" i="64" a="1"/>
  <c r="BH13" i="63"/>
  <c r="BF13" i="63"/>
  <c r="BG13" i="63"/>
  <c r="BE13" i="63"/>
  <c r="BE14" i="66" a="1"/>
  <c r="BS14" i="65" a="1"/>
  <c r="BV13" i="72"/>
  <c r="BS13" i="72"/>
  <c r="BT13" i="72"/>
  <c r="BU13" i="72"/>
  <c r="CE14" i="65" a="1"/>
  <c r="BE14" i="65" a="1"/>
  <c r="BS14" i="64" a="1"/>
  <c r="BS14" i="66" a="1"/>
  <c r="CH13" i="63"/>
  <c r="CE13" i="63"/>
  <c r="CG13" i="63"/>
  <c r="CF13" i="63"/>
  <c r="BU13" i="63"/>
  <c r="BV13" i="63"/>
  <c r="BS13" i="63"/>
  <c r="BT13" i="63"/>
  <c r="CH13" i="72"/>
  <c r="CE13" i="72"/>
  <c r="CG13" i="72"/>
  <c r="CF13" i="72"/>
  <c r="BE22" i="62" l="1"/>
  <c r="BH25" i="62"/>
  <c r="BG25" i="62"/>
  <c r="BG22" i="62"/>
  <c r="BH24" i="62"/>
  <c r="BF23" i="62"/>
  <c r="BF24" i="62"/>
  <c r="BF22" i="62"/>
  <c r="BE24" i="62"/>
  <c r="BG23" i="62"/>
  <c r="BF25" i="62"/>
  <c r="BE23" i="62"/>
  <c r="BH23" i="62"/>
  <c r="BE22" i="68" a="1"/>
  <c r="BH23" i="68" s="1"/>
  <c r="BE22" i="61" a="1"/>
  <c r="BG25" i="61" s="1"/>
  <c r="BE22" i="72" a="1"/>
  <c r="BE24" i="72" s="1"/>
  <c r="BE22" i="70" a="1"/>
  <c r="BE22" i="70" s="1"/>
  <c r="BG23" i="67"/>
  <c r="BH24" i="67"/>
  <c r="BG24" i="67"/>
  <c r="BH25" i="67"/>
  <c r="BG25" i="67"/>
  <c r="BF25" i="67"/>
  <c r="BE22" i="67"/>
  <c r="BH22" i="67"/>
  <c r="BF24" i="67"/>
  <c r="BE25" i="67"/>
  <c r="BH23" i="67"/>
  <c r="BF22" i="67"/>
  <c r="BG22" i="67"/>
  <c r="BE24" i="67"/>
  <c r="BE23" i="67"/>
  <c r="BF23" i="67"/>
  <c r="BE22" i="63" a="1"/>
  <c r="BF22" i="63" s="1"/>
  <c r="BE22" i="71" a="1"/>
  <c r="BG23" i="71" s="1"/>
  <c r="BG25" i="65"/>
  <c r="BF24" i="65"/>
  <c r="BF23" i="65"/>
  <c r="BE24" i="65"/>
  <c r="BH25" i="65"/>
  <c r="BE23" i="65"/>
  <c r="BF22" i="65"/>
  <c r="BE22" i="65"/>
  <c r="BH22" i="65"/>
  <c r="BG24" i="65"/>
  <c r="BH23" i="65"/>
  <c r="BH24" i="65"/>
  <c r="BG22" i="65"/>
  <c r="BF25" i="65"/>
  <c r="BG23" i="65"/>
  <c r="BE25" i="65"/>
  <c r="CE14" i="71" a="1"/>
  <c r="BS14" i="71" a="1"/>
  <c r="BE14" i="71" a="1"/>
  <c r="BH25" i="64"/>
  <c r="BE23" i="64"/>
  <c r="BE22" i="64"/>
  <c r="BE24" i="64"/>
  <c r="BG24" i="64"/>
  <c r="BF22" i="64"/>
  <c r="BG25" i="64"/>
  <c r="BF23" i="64"/>
  <c r="BH22" i="64"/>
  <c r="BF24" i="64"/>
  <c r="BH23" i="64"/>
  <c r="BF25" i="64"/>
  <c r="BH24" i="64"/>
  <c r="BG22" i="64"/>
  <c r="BE25" i="64"/>
  <c r="BG23" i="64"/>
  <c r="M19" i="45"/>
  <c r="AL34" i="33"/>
  <c r="M17" i="45"/>
  <c r="AL32" i="33"/>
  <c r="M26" i="45"/>
  <c r="AL41" i="33"/>
  <c r="BE14" i="61" a="1"/>
  <c r="K19" i="45" a="1"/>
  <c r="K19" i="45" s="1"/>
  <c r="K22" i="45" a="1"/>
  <c r="K22" i="45" s="1"/>
  <c r="K21" i="45" a="1"/>
  <c r="K21" i="45" s="1"/>
  <c r="K18" i="45" a="1"/>
  <c r="K18" i="45" s="1"/>
  <c r="K23" i="45" a="1"/>
  <c r="K23" i="45" s="1"/>
  <c r="K20" i="45" a="1"/>
  <c r="K20" i="45" s="1"/>
  <c r="K24" i="45" a="1"/>
  <c r="K24" i="45" s="1"/>
  <c r="K17" i="45" a="1"/>
  <c r="K17" i="45" s="1"/>
  <c r="M25" i="45"/>
  <c r="AL40" i="33"/>
  <c r="M27" i="45"/>
  <c r="AL42" i="33"/>
  <c r="AL36" i="33"/>
  <c r="M21" i="45"/>
  <c r="AL33" i="33"/>
  <c r="M18" i="45"/>
  <c r="AL38" i="33"/>
  <c r="M23" i="45"/>
  <c r="M28" i="45"/>
  <c r="AL43" i="33"/>
  <c r="M22" i="45"/>
  <c r="AL37" i="33"/>
  <c r="M20" i="45"/>
  <c r="AL35" i="33"/>
  <c r="BS14" i="61" a="1"/>
  <c r="AL39" i="33"/>
  <c r="M24" i="45"/>
  <c r="CE14" i="61" a="1"/>
  <c r="BS14" i="70" a="1"/>
  <c r="BE14" i="70" a="1"/>
  <c r="CE14" i="70" a="1"/>
  <c r="BV16" i="62"/>
  <c r="BU15" i="62"/>
  <c r="BV14" i="62"/>
  <c r="BU17" i="62"/>
  <c r="BU14" i="62"/>
  <c r="BV17" i="62"/>
  <c r="BT16" i="62"/>
  <c r="BU16" i="62"/>
  <c r="BV15" i="62"/>
  <c r="BT14" i="62"/>
  <c r="BT15" i="62"/>
  <c r="BT17" i="62"/>
  <c r="BS14" i="62"/>
  <c r="BS15" i="62"/>
  <c r="BS16" i="62"/>
  <c r="BS17" i="62"/>
  <c r="CH16" i="62"/>
  <c r="CH15" i="62"/>
  <c r="CF15" i="62"/>
  <c r="CH14" i="62"/>
  <c r="CF14" i="62"/>
  <c r="CG17" i="62"/>
  <c r="CF17" i="62"/>
  <c r="CG16" i="62"/>
  <c r="CE15" i="62"/>
  <c r="CF16" i="62"/>
  <c r="CG14" i="62"/>
  <c r="CE14" i="62"/>
  <c r="CE16" i="62"/>
  <c r="CG15" i="62"/>
  <c r="CE17" i="62"/>
  <c r="CH17" i="62"/>
  <c r="BF15" i="62"/>
  <c r="BH15" i="62"/>
  <c r="BF14" i="62"/>
  <c r="BH14" i="62"/>
  <c r="BF17" i="62"/>
  <c r="BH17" i="62"/>
  <c r="BE14" i="62"/>
  <c r="BG17" i="62"/>
  <c r="BE16" i="62"/>
  <c r="BF16" i="62"/>
  <c r="BH16" i="62"/>
  <c r="BE17" i="62"/>
  <c r="BG16" i="62"/>
  <c r="BG15" i="62"/>
  <c r="BE15" i="62"/>
  <c r="BG14" i="62"/>
  <c r="BF14" i="69"/>
  <c r="BH14" i="69"/>
  <c r="BG17" i="69"/>
  <c r="BE17" i="69"/>
  <c r="BG16" i="69"/>
  <c r="BE16" i="69"/>
  <c r="BG15" i="69"/>
  <c r="BE15" i="69"/>
  <c r="BG14" i="69"/>
  <c r="BE14" i="69"/>
  <c r="BF17" i="69"/>
  <c r="BH17" i="69"/>
  <c r="BF16" i="69"/>
  <c r="BH16" i="69"/>
  <c r="BF15" i="69"/>
  <c r="BH15" i="69"/>
  <c r="BV17" i="69"/>
  <c r="BV16" i="69"/>
  <c r="BT16" i="69"/>
  <c r="BS15" i="69"/>
  <c r="BT14" i="69"/>
  <c r="BS17" i="69"/>
  <c r="BS14" i="69"/>
  <c r="BT15" i="69"/>
  <c r="BS16" i="69"/>
  <c r="BT17" i="69"/>
  <c r="BU15" i="69"/>
  <c r="BU14" i="69"/>
  <c r="BU17" i="69"/>
  <c r="BU16" i="69"/>
  <c r="BV15" i="69"/>
  <c r="BV14" i="69"/>
  <c r="CH15" i="69"/>
  <c r="CF15" i="69"/>
  <c r="CH14" i="69"/>
  <c r="CF14" i="69"/>
  <c r="CE17" i="69"/>
  <c r="CG17" i="69"/>
  <c r="CE16" i="69"/>
  <c r="CG16" i="69"/>
  <c r="CE14" i="69"/>
  <c r="CH16" i="69"/>
  <c r="CE15" i="69"/>
  <c r="CG15" i="69"/>
  <c r="CG14" i="69"/>
  <c r="CF16" i="69"/>
  <c r="CH17" i="69"/>
  <c r="CF17" i="69"/>
  <c r="BS14" i="68" a="1"/>
  <c r="BE14" i="68" a="1"/>
  <c r="CE14" i="68" a="1"/>
  <c r="CE14" i="72" a="1"/>
  <c r="CF17" i="65"/>
  <c r="CF16" i="65"/>
  <c r="CF15" i="65"/>
  <c r="CF14" i="65"/>
  <c r="CE16" i="65"/>
  <c r="CE15" i="65"/>
  <c r="CE17" i="65"/>
  <c r="CE14" i="65"/>
  <c r="CH17" i="65"/>
  <c r="CH16" i="65"/>
  <c r="CH15" i="65"/>
  <c r="CH14" i="65"/>
  <c r="CG17" i="65"/>
  <c r="CG16" i="65"/>
  <c r="CG15" i="65"/>
  <c r="CG14" i="65"/>
  <c r="BS14" i="63" a="1"/>
  <c r="CE14" i="63" a="1"/>
  <c r="BE14" i="72" a="1"/>
  <c r="BS14" i="66"/>
  <c r="BS16" i="66"/>
  <c r="BT14" i="66"/>
  <c r="BT16" i="66"/>
  <c r="BU14" i="66"/>
  <c r="BU16" i="66"/>
  <c r="BV16" i="66"/>
  <c r="BV14" i="66"/>
  <c r="BS15" i="66"/>
  <c r="BS17" i="66"/>
  <c r="BT15" i="66"/>
  <c r="BT17" i="66"/>
  <c r="BU15" i="66"/>
  <c r="BU17" i="66"/>
  <c r="BV17" i="66"/>
  <c r="BV15" i="66"/>
  <c r="BS14" i="72" a="1"/>
  <c r="BG17" i="64"/>
  <c r="BG16" i="64"/>
  <c r="BG15" i="64"/>
  <c r="BG14" i="64"/>
  <c r="BF17" i="64"/>
  <c r="BF16" i="64"/>
  <c r="BF15" i="64"/>
  <c r="BF14" i="64"/>
  <c r="BE17" i="64"/>
  <c r="BE16" i="64"/>
  <c r="BE15" i="64"/>
  <c r="BE14" i="64"/>
  <c r="BH17" i="64"/>
  <c r="BH16" i="64"/>
  <c r="BH15" i="64"/>
  <c r="BH14" i="64"/>
  <c r="BS14" i="64"/>
  <c r="BS16" i="64"/>
  <c r="BT14" i="64"/>
  <c r="BT16" i="64"/>
  <c r="BU14" i="64"/>
  <c r="BU16" i="64"/>
  <c r="BV14" i="64"/>
  <c r="BV16" i="64"/>
  <c r="BS15" i="64"/>
  <c r="BS17" i="64"/>
  <c r="BT15" i="64"/>
  <c r="BT17" i="64"/>
  <c r="BU15" i="64"/>
  <c r="BU17" i="64"/>
  <c r="BV15" i="64"/>
  <c r="BV17" i="64"/>
  <c r="CH17" i="64"/>
  <c r="CH16" i="64"/>
  <c r="CH15" i="64"/>
  <c r="CH14" i="64"/>
  <c r="CG16" i="64"/>
  <c r="CG15" i="64"/>
  <c r="CG17" i="64"/>
  <c r="CG14" i="64"/>
  <c r="CF17" i="64"/>
  <c r="CF16" i="64"/>
  <c r="CF15" i="64"/>
  <c r="CF14" i="64"/>
  <c r="CE16" i="64"/>
  <c r="CE15" i="64"/>
  <c r="CE14" i="64"/>
  <c r="CE17" i="64"/>
  <c r="BT16" i="65"/>
  <c r="BT14" i="65"/>
  <c r="BS16" i="65"/>
  <c r="BS14" i="65"/>
  <c r="BV17" i="65"/>
  <c r="BV15" i="65"/>
  <c r="BU15" i="65"/>
  <c r="BU17" i="65"/>
  <c r="BT17" i="65"/>
  <c r="BT15" i="65"/>
  <c r="BS17" i="65"/>
  <c r="BS15" i="65"/>
  <c r="BV16" i="65"/>
  <c r="BV14" i="65"/>
  <c r="BU16" i="65"/>
  <c r="BU14" i="65"/>
  <c r="BG17" i="65"/>
  <c r="BG16" i="65"/>
  <c r="BG15" i="65"/>
  <c r="BG14" i="65"/>
  <c r="BF17" i="65"/>
  <c r="BF16" i="65"/>
  <c r="BF15" i="65"/>
  <c r="BF14" i="65"/>
  <c r="BE17" i="65"/>
  <c r="BE16" i="65"/>
  <c r="BE15" i="65"/>
  <c r="BE14" i="65"/>
  <c r="BH17" i="65"/>
  <c r="BH16" i="65"/>
  <c r="BH15" i="65"/>
  <c r="BH14" i="65"/>
  <c r="CH17" i="66"/>
  <c r="CH16" i="66"/>
  <c r="CH15" i="66"/>
  <c r="CH14" i="66"/>
  <c r="CG17" i="66"/>
  <c r="CG16" i="66"/>
  <c r="CG15" i="66"/>
  <c r="CG14" i="66"/>
  <c r="CF17" i="66"/>
  <c r="CF16" i="66"/>
  <c r="CF15" i="66"/>
  <c r="CF14" i="66"/>
  <c r="CE17" i="66"/>
  <c r="CE16" i="66"/>
  <c r="CE15" i="66"/>
  <c r="CE14" i="66"/>
  <c r="BE17" i="66"/>
  <c r="BE16" i="66"/>
  <c r="BE15" i="66"/>
  <c r="BE14" i="66"/>
  <c r="BH17" i="66"/>
  <c r="BH16" i="66"/>
  <c r="BH15" i="66"/>
  <c r="BH14" i="66"/>
  <c r="BG17" i="66"/>
  <c r="BG16" i="66"/>
  <c r="BG15" i="66"/>
  <c r="BG14" i="66"/>
  <c r="BF17" i="66"/>
  <c r="BF16" i="66"/>
  <c r="BF15" i="66"/>
  <c r="BF14" i="66"/>
  <c r="BE14" i="63" a="1"/>
  <c r="BG22" i="68" l="1"/>
  <c r="BF23" i="68"/>
  <c r="BH25" i="68"/>
  <c r="BH24" i="68"/>
  <c r="BE24" i="68"/>
  <c r="BH22" i="68"/>
  <c r="BG24" i="68"/>
  <c r="BG23" i="68"/>
  <c r="BE25" i="68"/>
  <c r="BG25" i="68"/>
  <c r="BF24" i="68"/>
  <c r="BE22" i="68"/>
  <c r="BF25" i="68"/>
  <c r="BE23" i="68"/>
  <c r="BF22" i="68"/>
  <c r="BF22" i="61"/>
  <c r="BF25" i="61"/>
  <c r="BE25" i="72"/>
  <c r="BF24" i="61"/>
  <c r="BH23" i="61"/>
  <c r="BE22" i="61"/>
  <c r="BH24" i="61"/>
  <c r="BE24" i="61"/>
  <c r="BG22" i="61"/>
  <c r="BH22" i="61"/>
  <c r="BG23" i="61"/>
  <c r="BG25" i="72"/>
  <c r="BE22" i="72"/>
  <c r="BF25" i="72"/>
  <c r="BE25" i="61"/>
  <c r="BG24" i="72"/>
  <c r="BF23" i="72"/>
  <c r="BG24" i="61"/>
  <c r="BH25" i="61"/>
  <c r="BF24" i="72"/>
  <c r="BF22" i="72"/>
  <c r="BF23" i="61"/>
  <c r="BE23" i="61"/>
  <c r="BH22" i="72"/>
  <c r="BG22" i="72"/>
  <c r="BE23" i="72"/>
  <c r="BH23" i="72"/>
  <c r="BH25" i="72"/>
  <c r="BG23" i="72"/>
  <c r="BH24" i="72"/>
  <c r="BE24" i="70"/>
  <c r="BH24" i="70"/>
  <c r="BH22" i="70"/>
  <c r="BH25" i="70"/>
  <c r="BG24" i="70"/>
  <c r="BH23" i="70"/>
  <c r="BG25" i="70"/>
  <c r="BF24" i="70"/>
  <c r="BG22" i="70"/>
  <c r="BF25" i="70"/>
  <c r="BG23" i="70"/>
  <c r="BE25" i="70"/>
  <c r="BF22" i="70"/>
  <c r="BE23" i="70"/>
  <c r="BF23" i="70"/>
  <c r="BG22" i="63"/>
  <c r="BG23" i="63"/>
  <c r="BF24" i="63"/>
  <c r="BE25" i="63"/>
  <c r="BE23" i="63"/>
  <c r="BE22" i="63"/>
  <c r="BH23" i="63"/>
  <c r="BE24" i="63"/>
  <c r="BH22" i="63"/>
  <c r="BH24" i="63"/>
  <c r="BH23" i="71"/>
  <c r="BF25" i="63"/>
  <c r="BH25" i="63"/>
  <c r="BF24" i="71"/>
  <c r="BE22" i="71"/>
  <c r="BF23" i="71"/>
  <c r="BF22" i="71"/>
  <c r="BG24" i="71"/>
  <c r="BG25" i="71"/>
  <c r="BF25" i="71"/>
  <c r="BE23" i="71"/>
  <c r="BH24" i="71"/>
  <c r="BG25" i="63"/>
  <c r="BF23" i="63"/>
  <c r="BE25" i="71"/>
  <c r="BH25" i="71"/>
  <c r="BH22" i="71"/>
  <c r="BG24" i="63"/>
  <c r="BE24" i="71"/>
  <c r="BG22" i="71"/>
  <c r="BT14" i="71"/>
  <c r="BU15" i="71"/>
  <c r="BV17" i="71"/>
  <c r="BS14" i="71"/>
  <c r="BU16" i="71"/>
  <c r="BV14" i="71"/>
  <c r="BT15" i="71"/>
  <c r="BS15" i="71"/>
  <c r="BU17" i="71"/>
  <c r="BT16" i="71"/>
  <c r="BS16" i="71"/>
  <c r="BV15" i="71"/>
  <c r="BT17" i="71"/>
  <c r="BU14" i="71"/>
  <c r="BV16" i="71"/>
  <c r="BS17" i="71"/>
  <c r="CH16" i="71"/>
  <c r="CF14" i="71"/>
  <c r="CG14" i="71"/>
  <c r="CE15" i="71"/>
  <c r="CE14" i="71"/>
  <c r="CF17" i="71"/>
  <c r="CG16" i="71"/>
  <c r="CH14" i="71"/>
  <c r="CF16" i="71"/>
  <c r="CH17" i="71"/>
  <c r="CE16" i="71"/>
  <c r="CG17" i="71"/>
  <c r="CF15" i="71"/>
  <c r="CH15" i="71"/>
  <c r="CE17" i="71"/>
  <c r="CG15" i="71"/>
  <c r="BF15" i="71"/>
  <c r="BG15" i="71"/>
  <c r="BG16" i="71"/>
  <c r="BG14" i="71"/>
  <c r="BH15" i="71"/>
  <c r="BE15" i="71"/>
  <c r="BE16" i="71"/>
  <c r="BE14" i="71"/>
  <c r="BF14" i="71"/>
  <c r="BG17" i="71"/>
  <c r="BF17" i="71"/>
  <c r="BF16" i="71"/>
  <c r="BH14" i="71"/>
  <c r="BE17" i="71"/>
  <c r="BH17" i="71"/>
  <c r="BH16" i="71"/>
  <c r="BT15" i="61"/>
  <c r="BV15" i="61"/>
  <c r="BT16" i="61"/>
  <c r="BV14" i="61"/>
  <c r="BT17" i="61"/>
  <c r="BV17" i="61"/>
  <c r="BU14" i="61"/>
  <c r="BV16" i="61"/>
  <c r="BU15" i="61"/>
  <c r="BS14" i="61"/>
  <c r="BS17" i="61"/>
  <c r="BU16" i="61"/>
  <c r="BS16" i="61"/>
  <c r="BU17" i="61"/>
  <c r="BT14" i="61"/>
  <c r="BS15" i="61"/>
  <c r="BG17" i="61"/>
  <c r="BG14" i="61"/>
  <c r="BF14" i="61"/>
  <c r="BE17" i="61"/>
  <c r="BE16" i="61"/>
  <c r="BH16" i="61"/>
  <c r="BE15" i="61"/>
  <c r="BG15" i="61"/>
  <c r="BE14" i="61"/>
  <c r="BH14" i="61"/>
  <c r="BH17" i="61"/>
  <c r="BF17" i="61"/>
  <c r="BH15" i="61"/>
  <c r="BG16" i="61"/>
  <c r="BF16" i="61"/>
  <c r="BF15" i="61"/>
  <c r="AM38" i="33"/>
  <c r="AN38" i="33"/>
  <c r="AN42" i="33"/>
  <c r="AM42" i="33"/>
  <c r="AN35" i="33"/>
  <c r="AM35" i="33"/>
  <c r="AM41" i="33"/>
  <c r="AN41" i="33"/>
  <c r="AN33" i="33"/>
  <c r="AM33" i="33"/>
  <c r="AN40" i="33"/>
  <c r="AM40" i="33"/>
  <c r="CE17" i="61"/>
  <c r="CG17" i="61"/>
  <c r="CG14" i="61"/>
  <c r="CE16" i="61"/>
  <c r="CG15" i="61"/>
  <c r="CE15" i="61"/>
  <c r="CH17" i="61"/>
  <c r="CH16" i="61"/>
  <c r="CF17" i="61"/>
  <c r="CE14" i="61"/>
  <c r="CF16" i="61"/>
  <c r="CH14" i="61"/>
  <c r="CF15" i="61"/>
  <c r="CH15" i="61"/>
  <c r="CF14" i="61"/>
  <c r="CG16" i="61"/>
  <c r="AM37" i="33"/>
  <c r="AN37" i="33"/>
  <c r="AN32" i="33"/>
  <c r="AM32" i="33"/>
  <c r="AM36" i="33"/>
  <c r="AN36" i="33"/>
  <c r="L19" i="45"/>
  <c r="L21" i="45"/>
  <c r="L22" i="45"/>
  <c r="L20" i="45"/>
  <c r="L24" i="45"/>
  <c r="L17" i="45"/>
  <c r="L23" i="45"/>
  <c r="L18" i="45"/>
  <c r="AN43" i="33"/>
  <c r="AM43" i="33"/>
  <c r="AN34" i="33"/>
  <c r="AM34" i="33"/>
  <c r="AM39" i="33"/>
  <c r="AN39" i="33"/>
  <c r="BH14" i="70"/>
  <c r="BF14" i="70"/>
  <c r="BH16" i="70"/>
  <c r="BF16" i="70"/>
  <c r="BE17" i="70"/>
  <c r="BH17" i="70"/>
  <c r="BF17" i="70"/>
  <c r="BG14" i="70"/>
  <c r="BE14" i="70"/>
  <c r="BG15" i="70"/>
  <c r="BF15" i="70"/>
  <c r="BE15" i="70"/>
  <c r="BG17" i="70"/>
  <c r="BG16" i="70"/>
  <c r="BE16" i="70"/>
  <c r="BH15" i="70"/>
  <c r="CF17" i="70"/>
  <c r="CG14" i="70"/>
  <c r="CG17" i="70"/>
  <c r="CG15" i="70"/>
  <c r="CF16" i="70"/>
  <c r="CH17" i="70"/>
  <c r="CE17" i="70"/>
  <c r="CF14" i="70"/>
  <c r="CE16" i="70"/>
  <c r="CE15" i="70"/>
  <c r="CG16" i="70"/>
  <c r="CH15" i="70"/>
  <c r="CH16" i="70"/>
  <c r="CF15" i="70"/>
  <c r="CH14" i="70"/>
  <c r="CE14" i="70"/>
  <c r="BT14" i="70"/>
  <c r="BS15" i="70"/>
  <c r="BV14" i="70"/>
  <c r="BV15" i="70"/>
  <c r="BS16" i="70"/>
  <c r="BU16" i="70"/>
  <c r="BU17" i="70"/>
  <c r="BT16" i="70"/>
  <c r="BV17" i="70"/>
  <c r="BU14" i="70"/>
  <c r="BU15" i="70"/>
  <c r="BS17" i="70"/>
  <c r="BT17" i="70"/>
  <c r="BS14" i="70"/>
  <c r="BT15" i="70"/>
  <c r="BV16" i="70"/>
  <c r="BG14" i="68"/>
  <c r="BE14" i="68"/>
  <c r="BH17" i="68"/>
  <c r="BF17" i="68"/>
  <c r="BH16" i="68"/>
  <c r="BF16" i="68"/>
  <c r="BH15" i="68"/>
  <c r="BF15" i="68"/>
  <c r="BH14" i="68"/>
  <c r="BF14" i="68"/>
  <c r="BG17" i="68"/>
  <c r="BE17" i="68"/>
  <c r="BG15" i="68"/>
  <c r="BE15" i="68"/>
  <c r="BG16" i="68"/>
  <c r="BE16" i="68"/>
  <c r="BS17" i="68"/>
  <c r="BS16" i="68"/>
  <c r="BS15" i="68"/>
  <c r="BS14" i="68"/>
  <c r="BV17" i="68"/>
  <c r="BV16" i="68"/>
  <c r="BV15" i="68"/>
  <c r="BV14" i="68"/>
  <c r="BU17" i="68"/>
  <c r="BU16" i="68"/>
  <c r="BU15" i="68"/>
  <c r="BU14" i="68"/>
  <c r="BT15" i="68"/>
  <c r="BT14" i="68"/>
  <c r="BT17" i="68"/>
  <c r="BT16" i="68"/>
  <c r="CE14" i="68"/>
  <c r="CG14" i="68"/>
  <c r="CH15" i="68"/>
  <c r="CF17" i="68"/>
  <c r="CH16" i="68"/>
  <c r="CF16" i="68"/>
  <c r="CH17" i="68"/>
  <c r="CH14" i="68"/>
  <c r="CF14" i="68"/>
  <c r="CE17" i="68"/>
  <c r="CG17" i="68"/>
  <c r="CE15" i="68"/>
  <c r="CG15" i="68"/>
  <c r="CE16" i="68"/>
  <c r="CG16" i="68"/>
  <c r="CF15" i="68"/>
  <c r="BT15" i="63"/>
  <c r="BT17" i="63"/>
  <c r="BU15" i="63"/>
  <c r="BU17" i="63"/>
  <c r="BV15" i="63"/>
  <c r="BV17" i="63"/>
  <c r="BS14" i="63"/>
  <c r="BS16" i="63"/>
  <c r="BT14" i="63"/>
  <c r="BT16" i="63"/>
  <c r="BU14" i="63"/>
  <c r="BU16" i="63"/>
  <c r="BV14" i="63"/>
  <c r="BV16" i="63"/>
  <c r="BS15" i="63"/>
  <c r="BS17" i="63"/>
  <c r="CE17" i="72"/>
  <c r="CE16" i="72"/>
  <c r="CE15" i="72"/>
  <c r="CE14" i="72"/>
  <c r="CH16" i="72"/>
  <c r="CH17" i="72"/>
  <c r="CH15" i="72"/>
  <c r="CH14" i="72"/>
  <c r="CG17" i="72"/>
  <c r="CG16" i="72"/>
  <c r="CG15" i="72"/>
  <c r="CG14" i="72"/>
  <c r="CF16" i="72"/>
  <c r="CF15" i="72"/>
  <c r="CF14" i="72"/>
  <c r="CF17" i="72"/>
  <c r="BG17" i="63"/>
  <c r="BG16" i="63"/>
  <c r="BG15" i="63"/>
  <c r="BG14" i="63"/>
  <c r="BF17" i="63"/>
  <c r="BF16" i="63"/>
  <c r="BF15" i="63"/>
  <c r="BF14" i="63"/>
  <c r="BE17" i="63"/>
  <c r="BE15" i="63"/>
  <c r="BH16" i="63"/>
  <c r="BH14" i="63"/>
  <c r="BE16" i="63"/>
  <c r="BE14" i="63"/>
  <c r="BH17" i="63"/>
  <c r="BH15" i="63"/>
  <c r="BU15" i="72"/>
  <c r="BU17" i="72"/>
  <c r="BV15" i="72"/>
  <c r="BV17" i="72"/>
  <c r="BS14" i="72"/>
  <c r="BS16" i="72"/>
  <c r="BT14" i="72"/>
  <c r="BT16" i="72"/>
  <c r="BU14" i="72"/>
  <c r="BU16" i="72"/>
  <c r="BV14" i="72"/>
  <c r="BV16" i="72"/>
  <c r="BS15" i="72"/>
  <c r="BS17" i="72"/>
  <c r="BT15" i="72"/>
  <c r="BT17" i="72"/>
  <c r="CF17" i="63"/>
  <c r="CF16" i="63"/>
  <c r="CF15" i="63"/>
  <c r="CF14" i="63"/>
  <c r="CE17" i="63"/>
  <c r="CE16" i="63"/>
  <c r="CE15" i="63"/>
  <c r="CE14" i="63"/>
  <c r="CH17" i="63"/>
  <c r="CH16" i="63"/>
  <c r="CH15" i="63"/>
  <c r="CH14" i="63"/>
  <c r="CG17" i="63"/>
  <c r="CG16" i="63"/>
  <c r="CG15" i="63"/>
  <c r="CG14" i="63"/>
  <c r="BF17" i="72"/>
  <c r="BF16" i="72"/>
  <c r="BF15" i="72"/>
  <c r="BF14" i="72"/>
  <c r="BE17" i="72"/>
  <c r="BE16" i="72"/>
  <c r="BE15" i="72"/>
  <c r="BE14" i="72"/>
  <c r="BH17" i="72"/>
  <c r="BH16" i="72"/>
  <c r="BH15" i="72"/>
  <c r="BH14" i="72"/>
  <c r="BG17" i="72"/>
  <c r="BG16" i="72"/>
  <c r="BG15" i="72"/>
  <c r="BG14" i="72"/>
  <c r="I30" i="45" l="1"/>
  <c r="AL45" i="33" l="1"/>
  <c r="O71" i="22"/>
  <c r="N71" i="22" s="1"/>
  <c r="L71" i="22" s="1"/>
  <c r="N103" i="22" s="1"/>
  <c r="J85" i="22" s="1"/>
  <c r="O75" i="22"/>
  <c r="N75" i="22" s="1"/>
  <c r="L75" i="22" s="1"/>
  <c r="N107" i="22" s="1"/>
  <c r="J91" i="22" s="1"/>
  <c r="E114" i="48" s="1"/>
  <c r="O70" i="22"/>
  <c r="N70" i="22" s="1"/>
  <c r="L70" i="22" s="1"/>
  <c r="N102" i="22" s="1"/>
  <c r="J89" i="22" s="1"/>
  <c r="O74" i="22"/>
  <c r="N74" i="22" s="1"/>
  <c r="L74" i="22" s="1"/>
  <c r="N106" i="22" s="1"/>
  <c r="J81" i="22" s="1"/>
  <c r="E101" i="48" s="1"/>
  <c r="O76" i="22"/>
  <c r="N76" i="22" s="1"/>
  <c r="L76" i="22" s="1"/>
  <c r="N108" i="22" s="1"/>
  <c r="J84" i="22" s="1"/>
  <c r="O69" i="22"/>
  <c r="N69" i="22" s="1"/>
  <c r="L69" i="22" s="1"/>
  <c r="N101" i="22" s="1"/>
  <c r="J83" i="22" s="1"/>
  <c r="O73" i="22"/>
  <c r="N73" i="22" s="1"/>
  <c r="L73" i="22" s="1"/>
  <c r="N105" i="22" s="1"/>
  <c r="J86" i="22" s="1"/>
  <c r="O72" i="22"/>
  <c r="N72" i="22" s="1"/>
  <c r="L72" i="22" s="1"/>
  <c r="N104" i="22" s="1"/>
  <c r="J78" i="22" s="1"/>
  <c r="E97" i="48" s="1"/>
  <c r="E106" i="48" l="1"/>
  <c r="X50" i="33"/>
  <c r="E102" i="48"/>
  <c r="AG50" i="33"/>
  <c r="AJ50" i="33"/>
  <c r="E104" i="48"/>
  <c r="F50" i="33"/>
  <c r="E100" i="48"/>
  <c r="AS50" i="33"/>
  <c r="E110" i="48"/>
  <c r="E113" i="48"/>
  <c r="AV50" i="33"/>
  <c r="U50" i="33"/>
  <c r="E105" i="48"/>
  <c r="E96" i="48"/>
  <c r="C50" i="33"/>
</calcChain>
</file>

<file path=xl/sharedStrings.xml><?xml version="1.0" encoding="utf-8"?>
<sst xmlns="http://schemas.openxmlformats.org/spreadsheetml/2006/main" count="7658" uniqueCount="1859">
  <si>
    <t>Portugal</t>
  </si>
  <si>
    <t>England</t>
  </si>
  <si>
    <t>1A</t>
  </si>
  <si>
    <t>1B</t>
  </si>
  <si>
    <t>1C</t>
  </si>
  <si>
    <t>1D</t>
  </si>
  <si>
    <t>1E</t>
  </si>
  <si>
    <t>1F</t>
  </si>
  <si>
    <t>2A</t>
  </si>
  <si>
    <t>2B</t>
  </si>
  <si>
    <t>2C</t>
  </si>
  <si>
    <t>2D</t>
  </si>
  <si>
    <t>2E</t>
  </si>
  <si>
    <t>2F</t>
  </si>
  <si>
    <t>3A</t>
  </si>
  <si>
    <t>3B</t>
  </si>
  <si>
    <t>3C</t>
  </si>
  <si>
    <t>3D</t>
  </si>
  <si>
    <t>3E</t>
  </si>
  <si>
    <t>3F</t>
  </si>
  <si>
    <t>B</t>
  </si>
  <si>
    <t>C</t>
  </si>
  <si>
    <t>E</t>
  </si>
  <si>
    <t>F</t>
  </si>
  <si>
    <t>A</t>
  </si>
  <si>
    <t>D</t>
  </si>
  <si>
    <t>1.</t>
  </si>
  <si>
    <t>2.</t>
  </si>
  <si>
    <t>3.</t>
  </si>
  <si>
    <t>4.</t>
  </si>
  <si>
    <t>Fair play</t>
  </si>
  <si>
    <t>H</t>
  </si>
  <si>
    <t>I</t>
  </si>
  <si>
    <t>K</t>
  </si>
  <si>
    <t>L</t>
  </si>
  <si>
    <t>Position</t>
  </si>
  <si>
    <t>Belgium</t>
  </si>
  <si>
    <t>Germany</t>
  </si>
  <si>
    <t>Spain</t>
  </si>
  <si>
    <t>France</t>
  </si>
  <si>
    <t>Poland</t>
  </si>
  <si>
    <t>Croatia</t>
  </si>
  <si>
    <t>Russia</t>
  </si>
  <si>
    <t>Denmark</t>
  </si>
  <si>
    <t>Sweden</t>
  </si>
  <si>
    <t>Round of 16 - 5</t>
  </si>
  <si>
    <t>Round of 16 - 6</t>
  </si>
  <si>
    <t>Round of 16 - 2</t>
  </si>
  <si>
    <t>Round of 16 - 4</t>
  </si>
  <si>
    <t>Round of 16 - 1</t>
  </si>
  <si>
    <t>Round of 16 - 3</t>
  </si>
  <si>
    <t>Round of 16 - 7</t>
  </si>
  <si>
    <t>Round of 16 - 8</t>
  </si>
  <si>
    <t>Semi-Final 1</t>
  </si>
  <si>
    <t>Semi-Final 2</t>
  </si>
  <si>
    <t>Final</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</si>
  <si>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</si>
  <si>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</si>
  <si>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</si>
  <si>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</si>
  <si>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</si>
  <si>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</si>
  <si>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</si>
  <si>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</si>
  <si>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</si>
  <si>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</si>
  <si>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</si>
  <si>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</si>
  <si>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</si>
  <si>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</si>
  <si>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</si>
  <si>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</si>
  <si>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</si>
  <si>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</si>
  <si>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</si>
  <si>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</si>
  <si>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</si>
  <si>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</si>
  <si>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</si>
  <si>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</si>
  <si>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</si>
  <si>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</si>
  <si>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</si>
  <si>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</si>
  <si>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</si>
  <si>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</si>
  <si>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</si>
  <si>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</si>
  <si>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</si>
  <si>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</si>
  <si>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</si>
  <si>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</si>
  <si>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</si>
  <si>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</si>
  <si>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</si>
  <si>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1H</t>
  </si>
  <si>
    <t>2H</t>
  </si>
  <si>
    <t>3H</t>
  </si>
  <si>
    <t>Third Place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</si>
  <si>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</si>
  <si>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</si>
  <si>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</si>
  <si>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</si>
  <si>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</si>
  <si>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</si>
  <si>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</si>
  <si>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</si>
  <si>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</si>
  <si>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</si>
  <si>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</si>
  <si>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</si>
  <si>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</si>
  <si>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</si>
  <si>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</si>
  <si>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</si>
  <si>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</si>
  <si>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</si>
  <si>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</si>
  <si>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</si>
  <si>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</si>
  <si>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</si>
  <si>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</si>
  <si>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</si>
  <si>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</si>
  <si>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</si>
  <si>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</si>
  <si>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</si>
  <si>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</si>
  <si>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</si>
  <si>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</si>
  <si>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</si>
  <si>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</si>
  <si>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</si>
  <si>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</si>
  <si>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</si>
  <si>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</si>
  <si>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</si>
  <si>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</si>
  <si>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</si>
  <si>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</si>
  <si>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</si>
  <si>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</si>
  <si>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</si>
  <si>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</si>
  <si>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</si>
  <si>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</si>
  <si>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</si>
  <si>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</si>
  <si>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</si>
  <si>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</si>
  <si>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</si>
  <si>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</si>
  <si>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</si>
  <si>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</si>
  <si>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</si>
  <si>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</si>
  <si>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</si>
  <si>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</si>
  <si>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</si>
  <si>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</si>
  <si>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</si>
  <si>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</si>
  <si>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</si>
  <si>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</si>
  <si>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</si>
  <si>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</si>
  <si>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</si>
  <si>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</si>
  <si>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</si>
  <si>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Brasilien</t>
  </si>
  <si>
    <t>A1</t>
  </si>
  <si>
    <t>A2</t>
  </si>
  <si>
    <t>A3</t>
  </si>
  <si>
    <t>B1</t>
  </si>
  <si>
    <t>B2</t>
  </si>
  <si>
    <t>B3</t>
  </si>
  <si>
    <t>C1</t>
  </si>
  <si>
    <t>C2</t>
  </si>
  <si>
    <t>C3</t>
  </si>
  <si>
    <t>D1</t>
  </si>
  <si>
    <t>D2</t>
  </si>
  <si>
    <t>D3</t>
  </si>
  <si>
    <t>E1</t>
  </si>
  <si>
    <t>E2</t>
  </si>
  <si>
    <t>E3</t>
  </si>
  <si>
    <t>G1</t>
  </si>
  <si>
    <t>G2</t>
  </si>
  <si>
    <t>G3</t>
  </si>
  <si>
    <t>Sum:</t>
  </si>
  <si>
    <t>GD</t>
  </si>
  <si>
    <t>Coefficient</t>
  </si>
  <si>
    <t>Message</t>
  </si>
  <si>
    <t>Full text:</t>
  </si>
  <si>
    <t>Text</t>
  </si>
  <si>
    <t>Number</t>
  </si>
  <si>
    <t>Distinctness</t>
  </si>
  <si>
    <t>Group</t>
  </si>
  <si>
    <t>Not clear</t>
  </si>
  <si>
    <t>Tableau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</si>
  <si>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</si>
  <si>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</si>
  <si>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</si>
  <si>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</si>
  <si>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</si>
  <si>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</si>
  <si>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</si>
  <si>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</si>
  <si>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</si>
  <si>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</si>
  <si>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</si>
  <si>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</si>
  <si>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</si>
  <si>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</si>
  <si>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</si>
  <si>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</si>
  <si>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</si>
  <si>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</si>
  <si>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</si>
  <si>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</si>
  <si>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</si>
  <si>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</si>
  <si>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</si>
  <si>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</si>
  <si>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</si>
  <si>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</si>
  <si>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</si>
  <si>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</si>
  <si>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</si>
  <si>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</si>
  <si>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</si>
  <si>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</si>
  <si>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</si>
  <si>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</si>
  <si>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</si>
  <si>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</si>
  <si>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</si>
  <si>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</si>
  <si>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</si>
  <si>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</si>
  <si>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</si>
  <si>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</si>
  <si>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</si>
  <si>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</si>
  <si>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</si>
  <si>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</si>
  <si>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</si>
  <si>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</si>
  <si>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</si>
  <si>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Ägypten</t>
  </si>
  <si>
    <t>Uruguay</t>
  </si>
  <si>
    <t>Marokko</t>
  </si>
  <si>
    <t>Australien</t>
  </si>
  <si>
    <t>Peru</t>
  </si>
  <si>
    <t>Argentinien</t>
  </si>
  <si>
    <t>Island</t>
  </si>
  <si>
    <t>Nigeria</t>
  </si>
  <si>
    <t>Costa Rica</t>
  </si>
  <si>
    <t>Serbien</t>
  </si>
  <si>
    <t>Mexiko</t>
  </si>
  <si>
    <t>Panama</t>
  </si>
  <si>
    <t>Tunesien</t>
  </si>
  <si>
    <t>Senegal</t>
  </si>
  <si>
    <t>Kolumbien</t>
  </si>
  <si>
    <t>Japan</t>
  </si>
  <si>
    <t>F1</t>
  </si>
  <si>
    <t>F2</t>
  </si>
  <si>
    <t>F3</t>
  </si>
  <si>
    <t>H1</t>
  </si>
  <si>
    <t>H2</t>
  </si>
  <si>
    <t>H3</t>
  </si>
  <si>
    <t>G</t>
  </si>
  <si>
    <t>Unzulässiges Ergebnis!</t>
  </si>
  <si>
    <t>Invalid result!</t>
  </si>
  <si>
    <t>Risultato non valido</t>
  </si>
  <si>
    <t>¡Resultado no válido!</t>
  </si>
  <si>
    <t>Résultat invalide !</t>
  </si>
  <si>
    <t>Titles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</si>
  <si>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</si>
  <si>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</si>
  <si>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</si>
  <si>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</si>
  <si>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</si>
  <si>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</si>
  <si>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</si>
  <si>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</si>
  <si>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Direct comparisons</t>
  </si>
  <si>
    <t>Pts.</t>
  </si>
  <si>
    <t>Pkt.</t>
  </si>
  <si>
    <t>Pt.</t>
  </si>
  <si>
    <t>Diff.</t>
  </si>
  <si>
    <t>Tore</t>
  </si>
  <si>
    <t>Buts</t>
  </si>
  <si>
    <t>Goals</t>
  </si>
  <si>
    <t>Gol</t>
  </si>
  <si>
    <t>Goles</t>
  </si>
  <si>
    <t>Dif.</t>
  </si>
  <si>
    <t>Total</t>
  </si>
  <si>
    <t>Direkte Vergleiche</t>
  </si>
  <si>
    <t>Comparaisons directes</t>
  </si>
  <si>
    <t>Comparaciones directas</t>
  </si>
  <si>
    <t>Confronti diretti</t>
  </si>
  <si>
    <t>Totale</t>
  </si>
  <si>
    <t>Teams</t>
  </si>
  <si>
    <t>Distinctness of the ranks within the groups</t>
  </si>
  <si>
    <t xml:space="preserve"> and </t>
  </si>
  <si>
    <t xml:space="preserve"> y </t>
  </si>
  <si>
    <t xml:space="preserve"> e </t>
  </si>
  <si>
    <t xml:space="preserve"> et </t>
  </si>
  <si>
    <t xml:space="preserve"> und </t>
  </si>
  <si>
    <t>Indicator</t>
  </si>
  <si>
    <t>Egypt</t>
  </si>
  <si>
    <t>Egipto</t>
  </si>
  <si>
    <t>Egitto</t>
  </si>
  <si>
    <t>Egypte</t>
  </si>
  <si>
    <t>Morocco</t>
  </si>
  <si>
    <t>Marruecos</t>
  </si>
  <si>
    <t>Marocco</t>
  </si>
  <si>
    <t>Maroc</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</si>
  <si>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</si>
  <si>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</si>
  <si>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</si>
  <si>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</si>
  <si>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</si>
  <si>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</si>
  <si>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</si>
  <si>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</si>
  <si>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</si>
  <si>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</si>
  <si>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</si>
  <si>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</si>
  <si>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</si>
  <si>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</si>
  <si>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</si>
  <si>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</si>
  <si>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</si>
  <si>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</si>
  <si>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</si>
  <si>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</si>
  <si>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Panamá</t>
  </si>
  <si>
    <t>Tunisia</t>
  </si>
  <si>
    <t>Túnez</t>
  </si>
  <si>
    <t>Tunisie</t>
  </si>
  <si>
    <t>Sénégal</t>
  </si>
  <si>
    <t>Colombia</t>
  </si>
  <si>
    <t>Colombie</t>
  </si>
  <si>
    <t>Japón</t>
  </si>
  <si>
    <t>Giappone</t>
  </si>
  <si>
    <t>Japon</t>
  </si>
  <si>
    <t>IR Iran</t>
  </si>
  <si>
    <t xml:space="preserve"> : </t>
  </si>
  <si>
    <t xml:space="preserve"> - </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</si>
  <si>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</si>
  <si>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</si>
  <si>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</si>
  <si>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</si>
  <si>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</si>
  <si>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</si>
  <si>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</si>
  <si>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</si>
  <si>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</si>
  <si>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</si>
  <si>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</si>
  <si>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</si>
  <si>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</si>
  <si>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</si>
  <si>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</si>
  <si>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</si>
  <si>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</si>
  <si>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</si>
  <si>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</si>
  <si>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</si>
  <si>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</si>
  <si>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</si>
  <si>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</si>
  <si>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</si>
  <si>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</si>
  <si>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</si>
  <si>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</si>
  <si>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</si>
  <si>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</si>
  <si>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</si>
  <si>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</si>
  <si>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</si>
  <si>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</si>
  <si>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</si>
  <si>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</si>
  <si>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</si>
  <si>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</si>
  <si>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</si>
  <si>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Name</t>
  </si>
  <si>
    <t>Team
no.</t>
  </si>
  <si>
    <t>Team</t>
  </si>
  <si>
    <t>Grupo</t>
  </si>
  <si>
    <t>Gruppo</t>
  </si>
  <si>
    <t>Groupe</t>
  </si>
  <si>
    <t>Gruppe</t>
  </si>
  <si>
    <t>Italy</t>
  </si>
  <si>
    <t>Netherlands</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</si>
  <si>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</si>
  <si>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</si>
  <si>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</si>
  <si>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</si>
  <si>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</si>
  <si>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</si>
  <si>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</si>
  <si>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</si>
  <si>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</si>
  <si>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</si>
  <si>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</si>
  <si>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</si>
  <si>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</si>
  <si>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</si>
  <si>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</si>
  <si>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</si>
  <si>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</si>
  <si>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</si>
  <si>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</si>
  <si>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</si>
  <si>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</si>
  <si>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Slovenia</t>
  </si>
  <si>
    <t>Northern Ireland</t>
  </si>
  <si>
    <t>Bolivia</t>
  </si>
  <si>
    <t>Ghana</t>
  </si>
  <si>
    <t>Honduras</t>
  </si>
  <si>
    <t>Albania</t>
  </si>
  <si>
    <t>Burkina Faso</t>
  </si>
  <si>
    <t>Cameroon</t>
  </si>
  <si>
    <t>Mali</t>
  </si>
  <si>
    <t>Uzbekistan</t>
  </si>
  <si>
    <t>Bulgaria</t>
  </si>
  <si>
    <t>Jamaica</t>
  </si>
  <si>
    <t>South Africa</t>
  </si>
  <si>
    <t>Oman</t>
  </si>
  <si>
    <t>Montenegro</t>
  </si>
  <si>
    <t>Georgia</t>
  </si>
  <si>
    <t>Italia</t>
  </si>
  <si>
    <t>Italie</t>
  </si>
  <si>
    <t>Italien</t>
  </si>
  <si>
    <t>Países Bajos</t>
  </si>
  <si>
    <t>Paesi Bassi</t>
  </si>
  <si>
    <t>Pays-Bas</t>
  </si>
  <si>
    <t>Niederlande</t>
  </si>
  <si>
    <t>USA</t>
  </si>
  <si>
    <t>EE.UU.</t>
  </si>
  <si>
    <t>Groups</t>
  </si>
  <si>
    <t>Pays de Galles</t>
  </si>
  <si>
    <t>Galles</t>
  </si>
  <si>
    <t>Gales</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</si>
  <si>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</si>
  <si>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</si>
  <si>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</si>
  <si>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</si>
  <si>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</si>
  <si>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</si>
  <si>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</si>
  <si>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</si>
  <si>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</si>
  <si>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</si>
  <si>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</si>
  <si>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</si>
  <si>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</si>
  <si>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</si>
  <si>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</si>
  <si>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</si>
  <si>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</si>
  <si>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</si>
  <si>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</si>
  <si>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</si>
  <si>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</si>
  <si>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</si>
  <si>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</si>
  <si>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</si>
  <si>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</si>
  <si>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</si>
  <si>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</si>
  <si>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</si>
  <si>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</si>
  <si>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</si>
  <si>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</si>
  <si>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</si>
  <si>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</si>
  <si>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</si>
  <si>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</si>
  <si>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</si>
  <si>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</si>
  <si>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</si>
  <si>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</si>
  <si>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</si>
  <si>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</si>
  <si>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</si>
  <si>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</si>
  <si>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</si>
  <si>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</si>
  <si>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</si>
  <si>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</si>
  <si>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Irak</t>
  </si>
  <si>
    <t>Eslovenia</t>
  </si>
  <si>
    <t>Slovénie</t>
  </si>
  <si>
    <t>Slowenien</t>
  </si>
  <si>
    <t>Nordirland</t>
  </si>
  <si>
    <t>Irlande du Nord</t>
  </si>
  <si>
    <t>Irlanda del Nord</t>
  </si>
  <si>
    <t>Irlanda del Norte</t>
  </si>
  <si>
    <t>Bolivie</t>
  </si>
  <si>
    <t>Albanie</t>
  </si>
  <si>
    <t>Bolivien</t>
  </si>
  <si>
    <t>Albanien</t>
  </si>
  <si>
    <t>Camerún</t>
  </si>
  <si>
    <t>Cameroun</t>
  </si>
  <si>
    <t>Camerun</t>
  </si>
  <si>
    <t>Kamerun</t>
  </si>
  <si>
    <t>Uzbekistán</t>
  </si>
  <si>
    <t>Omán</t>
  </si>
  <si>
    <t>Ouzbékistan</t>
  </si>
  <si>
    <t>Usbekistan</t>
  </si>
  <si>
    <t>Bulgarie</t>
  </si>
  <si>
    <t>Bulgarien</t>
  </si>
  <si>
    <t>Giamaica</t>
  </si>
  <si>
    <t>Jamaïque</t>
  </si>
  <si>
    <t>Jamaika</t>
  </si>
  <si>
    <t>Afrique du Sud</t>
  </si>
  <si>
    <t>Sudafrica</t>
  </si>
  <si>
    <t>Sudáfrica</t>
  </si>
  <si>
    <t>Südafrika</t>
  </si>
  <si>
    <t>Monténégro</t>
  </si>
  <si>
    <t>Géorgie</t>
  </si>
  <si>
    <t>Georgien</t>
  </si>
  <si>
    <t>Neuseeland</t>
  </si>
  <si>
    <t>Penalty shoot-out:</t>
  </si>
  <si>
    <t>Tiro de penalti:</t>
  </si>
  <si>
    <t>Tiro di rigore:</t>
  </si>
  <si>
    <t>Tirs au but :</t>
  </si>
  <si>
    <t>Elfmeterschießen:</t>
  </si>
  <si>
    <t>EET/CEST</t>
  </si>
  <si>
    <t>Date   (my time)</t>
  </si>
  <si>
    <t>CET/WEST</t>
  </si>
  <si>
    <t>Factors</t>
  </si>
  <si>
    <t>FIFA
rank</t>
  </si>
  <si>
    <t>←</t>
  </si>
  <si>
    <t>Predictions</t>
  </si>
  <si>
    <t>Correct Results</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</si>
  <si>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</si>
  <si>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</si>
  <si>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</si>
  <si>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</si>
  <si>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</si>
  <si>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</si>
  <si>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</si>
  <si>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</si>
  <si>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</si>
  <si>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</si>
  <si>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</si>
  <si>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</si>
  <si>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</si>
  <si>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</si>
  <si>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</si>
  <si>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</si>
  <si>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</si>
  <si>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</si>
  <si>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</si>
  <si>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</si>
  <si>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</si>
  <si>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</si>
  <si>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</si>
  <si>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</si>
  <si>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</si>
  <si>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</si>
  <si>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</si>
  <si>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</si>
  <si>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</si>
  <si>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</si>
  <si>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</si>
  <si>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</si>
  <si>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</si>
  <si>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</si>
  <si>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</si>
  <si>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</si>
  <si>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</si>
  <si>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</si>
  <si>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</si>
  <si>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</si>
  <si>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</si>
  <si>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</si>
  <si>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</si>
  <si>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</si>
  <si>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</si>
  <si>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</si>
  <si>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</si>
  <si>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</si>
  <si>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</si>
  <si>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</si>
  <si>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</si>
  <si>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</si>
  <si>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</si>
  <si>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</si>
  <si>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</si>
  <si>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</si>
  <si>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</si>
  <si>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</si>
  <si>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</si>
  <si>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</si>
  <si>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</si>
  <si>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</si>
  <si>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</si>
  <si>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</si>
  <si>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</si>
  <si>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</si>
  <si>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</si>
  <si>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</si>
  <si>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</si>
  <si>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</si>
  <si>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</si>
  <si>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</si>
  <si>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</si>
  <si>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</si>
  <si>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</si>
  <si>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</si>
  <si>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</si>
  <si>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</si>
  <si>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</si>
  <si>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</si>
  <si>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</si>
  <si>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</si>
  <si>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</si>
  <si>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</si>
  <si>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</si>
  <si>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</si>
  <si>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</si>
  <si>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</si>
  <si>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</si>
  <si>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</si>
  <si>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</si>
  <si>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</si>
  <si>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</si>
  <si>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</si>
  <si>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</si>
  <si>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</si>
  <si>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</si>
  <si>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</si>
  <si>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</si>
  <si>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</si>
  <si>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</si>
  <si>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</si>
  <si>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</si>
  <si>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</si>
  <si>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</si>
  <si>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</si>
  <si>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</si>
  <si>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</si>
  <si>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</si>
  <si>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</si>
  <si>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</si>
  <si>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</si>
  <si>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</si>
  <si>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</si>
  <si>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</si>
  <si>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</si>
  <si>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</si>
  <si>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</si>
  <si>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</si>
  <si>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</si>
  <si>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</si>
  <si>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</si>
  <si>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</si>
  <si>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</si>
  <si>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</si>
  <si>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</si>
  <si>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</si>
  <si>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</si>
  <si>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</si>
  <si>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</si>
  <si>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</si>
  <si>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</si>
  <si>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</si>
  <si>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</si>
  <si>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</si>
  <si>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</si>
  <si>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</si>
  <si>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</si>
  <si>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</si>
  <si>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</si>
  <si>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</si>
  <si>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</si>
  <si>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</si>
  <si>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</si>
  <si>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</si>
  <si>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</si>
  <si>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</si>
  <si>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</si>
  <si>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</si>
  <si>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</si>
  <si>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</si>
  <si>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</si>
  <si>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</si>
  <si>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</si>
  <si>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</si>
  <si>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</si>
  <si>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</si>
  <si>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</si>
  <si>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</si>
  <si>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</si>
  <si>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</si>
  <si>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</si>
  <si>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</si>
  <si>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</si>
  <si>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</si>
  <si>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</si>
  <si>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</si>
  <si>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</si>
  <si>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</si>
  <si>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</si>
  <si>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</si>
  <si>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dutch</t>
  </si>
  <si>
    <t>Brazilië</t>
  </si>
  <si>
    <t>België</t>
  </si>
  <si>
    <t>Frankrijk</t>
  </si>
  <si>
    <t>Argentinië</t>
  </si>
  <si>
    <t>Engeland</t>
  </si>
  <si>
    <t>Nederland</t>
  </si>
  <si>
    <t>Denemarken</t>
  </si>
  <si>
    <t>Duitsland</t>
  </si>
  <si>
    <t>Zwitserland</t>
  </si>
  <si>
    <t>Kroatië</t>
  </si>
  <si>
    <t>Zweden</t>
  </si>
  <si>
    <t>Servië</t>
  </si>
  <si>
    <t>Oekraïne</t>
  </si>
  <si>
    <t>Oostenrijk</t>
  </si>
  <si>
    <t>Tunesië</t>
  </si>
  <si>
    <t>Rusland</t>
  </si>
  <si>
    <t>Kameroen</t>
  </si>
  <si>
    <t>Schotland</t>
  </si>
  <si>
    <t>Hongarije</t>
  </si>
  <si>
    <t>Noorwegen</t>
  </si>
  <si>
    <t>Australië</t>
  </si>
  <si>
    <t>Turkije</t>
  </si>
  <si>
    <t>Algerije</t>
  </si>
  <si>
    <t>Slowakije</t>
  </si>
  <si>
    <t>Roemenië</t>
  </si>
  <si>
    <t>Ivoorkust</t>
  </si>
  <si>
    <t>Noord-Ierland</t>
  </si>
  <si>
    <t>Griekenland</t>
  </si>
  <si>
    <t>IJsland</t>
  </si>
  <si>
    <t>Slovenië</t>
  </si>
  <si>
    <t>Albanië</t>
  </si>
  <si>
    <t>Zuid-Afrika</t>
  </si>
  <si>
    <t>Bulgarije</t>
  </si>
  <si>
    <t>Bolivië</t>
  </si>
  <si>
    <t>Oezbekistan</t>
  </si>
  <si>
    <t>Georgië</t>
  </si>
  <si>
    <t>Onderscheidend vergelijk</t>
  </si>
  <si>
    <t>Kies tijdzone</t>
  </si>
  <si>
    <t>Wedstrijden</t>
  </si>
  <si>
    <t>Kies taal</t>
  </si>
  <si>
    <t xml:space="preserve">Voorspellingsklassificatie </t>
  </si>
  <si>
    <t>Groep</t>
  </si>
  <si>
    <t>Ptn.</t>
  </si>
  <si>
    <t>Doelpunten</t>
  </si>
  <si>
    <t>Totaal</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</si>
  <si>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</si>
  <si>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</si>
  <si>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</si>
  <si>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</si>
  <si>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</si>
  <si>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</si>
  <si>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</si>
  <si>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</si>
  <si>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</si>
  <si>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</si>
  <si>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</si>
  <si>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</si>
  <si>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</si>
  <si>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</si>
  <si>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</si>
  <si>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</si>
  <si>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</si>
  <si>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De rangschikking is verduidelijkt in alle groepen.</t>
  </si>
  <si>
    <t>en</t>
  </si>
  <si>
    <t>Ongeldig resultaat!</t>
  </si>
  <si>
    <t>Klik hier en kies de tijdzone:</t>
  </si>
  <si>
    <t>Tijdzone van het gastland:</t>
  </si>
  <si>
    <t>Klik hier en kies de taal:</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</si>
  <si>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</si>
  <si>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</si>
  <si>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</si>
  <si>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</si>
  <si>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</si>
  <si>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</si>
  <si>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</si>
  <si>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</si>
  <si>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</si>
  <si>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</si>
  <si>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</si>
  <si>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</si>
  <si>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</si>
  <si>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</si>
  <si>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</si>
  <si>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</si>
  <si>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</si>
  <si>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</si>
  <si>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</si>
  <si>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</si>
  <si>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</si>
  <si>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</si>
  <si>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</si>
  <si>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</si>
  <si>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</si>
  <si>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</si>
  <si>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</si>
  <si>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</si>
  <si>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</si>
  <si>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</si>
  <si>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DS</t>
  </si>
  <si>
    <t>Italië</t>
  </si>
  <si>
    <t>Spanje</t>
  </si>
  <si>
    <t>J</t>
  </si>
  <si>
    <t>I1</t>
  </si>
  <si>
    <t>I2</t>
  </si>
  <si>
    <t>I3</t>
  </si>
  <si>
    <t>J1</t>
  </si>
  <si>
    <t>J2</t>
  </si>
  <si>
    <t>J3</t>
  </si>
  <si>
    <t>K1</t>
  </si>
  <si>
    <t>K2</t>
  </si>
  <si>
    <t>K3</t>
  </si>
  <si>
    <t>L1</t>
  </si>
  <si>
    <t>L2</t>
  </si>
  <si>
    <t>L3</t>
  </si>
  <si>
    <r>
      <t xml:space="preserve">  </t>
    </r>
    <r>
      <rPr>
        <b/>
        <sz val="11"/>
        <color theme="1"/>
        <rFont val="Calibri"/>
        <family val="2"/>
        <scheme val="minor"/>
      </rPr>
      <t xml:space="preserve">Ptn. </t>
    </r>
    <r>
      <rPr>
        <sz val="11"/>
        <color theme="1"/>
        <rFont val="Calibri"/>
        <family val="2"/>
        <scheme val="minor"/>
      </rPr>
      <t xml:space="preserve">    Doelp.</t>
    </r>
  </si>
  <si>
    <t>1I</t>
  </si>
  <si>
    <t>2I</t>
  </si>
  <si>
    <t>3I</t>
  </si>
  <si>
    <t>1J</t>
  </si>
  <si>
    <t>2J</t>
  </si>
  <si>
    <t>3J</t>
  </si>
  <si>
    <t>1K</t>
  </si>
  <si>
    <t>2K</t>
  </si>
  <si>
    <t>3K</t>
  </si>
  <si>
    <t>1L</t>
  </si>
  <si>
    <t>2L</t>
  </si>
  <si>
    <t>3L</t>
  </si>
  <si>
    <t>Sechzehntelfinale 1</t>
  </si>
  <si>
    <t>Sechzehntelfinale 2</t>
  </si>
  <si>
    <t>Sechzehntelfinale 3</t>
  </si>
  <si>
    <t>Sechzehntelfinale 4</t>
  </si>
  <si>
    <t>Sechzehntelfinale 5</t>
  </si>
  <si>
    <t>Sechzehntelfinale 6</t>
  </si>
  <si>
    <t>Sechzehntelfinale 7</t>
  </si>
  <si>
    <t>Sechzehntelfinale 8</t>
  </si>
  <si>
    <t>Sechzehntelfinale 9</t>
  </si>
  <si>
    <t>Sechzehntelfinale 10</t>
  </si>
  <si>
    <t>Sechzehntelfinale 11</t>
  </si>
  <si>
    <t>Sechzehntelfinale 12</t>
  </si>
  <si>
    <t>Sechzehntelfinale 13</t>
  </si>
  <si>
    <t>Sechzehntelfinale 14</t>
  </si>
  <si>
    <t>Sechzehntelfinale 15</t>
  </si>
  <si>
    <t>Sechzehntelfinale 16</t>
  </si>
  <si>
    <t>W73</t>
  </si>
  <si>
    <t>W74</t>
  </si>
  <si>
    <t>W75</t>
  </si>
  <si>
    <t>W76</t>
  </si>
  <si>
    <t>W77</t>
  </si>
  <si>
    <t>W78</t>
  </si>
  <si>
    <t>WM 2026 in Kanada/Mexiko/USA</t>
  </si>
  <si>
    <t>World Champion 2026:</t>
  </si>
  <si>
    <t>Campeón del Mundo 2026:</t>
  </si>
  <si>
    <t>Campione del mondo 2026:</t>
  </si>
  <si>
    <t>Champion du monde 2026:</t>
  </si>
  <si>
    <t>Weltmeister 2026:</t>
  </si>
  <si>
    <t>Wereldkampioen 2026:</t>
  </si>
  <si>
    <t>Sechzehntelfinale</t>
  </si>
  <si>
    <t>Round of 32</t>
  </si>
  <si>
    <t>Ronda de 32</t>
  </si>
  <si>
    <t>Zestiende finale</t>
  </si>
  <si>
    <t>girone di 32</t>
  </si>
  <si>
    <t>16es de finale</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</si>
  <si>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</si>
  <si>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</si>
  <si>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</si>
  <si>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</si>
  <si>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</si>
  <si>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</si>
  <si>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Finnland</t>
  </si>
  <si>
    <t>Nordmazedonien</t>
  </si>
  <si>
    <t>Kap Verde</t>
  </si>
  <si>
    <t>Gabun</t>
  </si>
  <si>
    <t>Vancouver</t>
  </si>
  <si>
    <t>Toronto</t>
  </si>
  <si>
    <t>Kansas City</t>
  </si>
  <si>
    <t>Houston</t>
  </si>
  <si>
    <t>Atlanta</t>
  </si>
  <si>
    <t>Los Angeles</t>
  </si>
  <si>
    <t>Philadelphia</t>
  </si>
  <si>
    <t>Seattle</t>
  </si>
  <si>
    <t>Boston</t>
  </si>
  <si>
    <t>Miami</t>
  </si>
  <si>
    <t>Mexico City</t>
  </si>
  <si>
    <t>32e de finale 1</t>
  </si>
  <si>
    <t>32e de finale 2</t>
  </si>
  <si>
    <t>32e de finale 3</t>
  </si>
  <si>
    <t>32e de finale 4</t>
  </si>
  <si>
    <t>32e de finale 5</t>
  </si>
  <si>
    <t>32e de finale 6</t>
  </si>
  <si>
    <t>32e de finale 7</t>
  </si>
  <si>
    <t>32e de finale 8</t>
  </si>
  <si>
    <t>32e de finale 9</t>
  </si>
  <si>
    <t>32e de finale 10</t>
  </si>
  <si>
    <t>32e de finale 11</t>
  </si>
  <si>
    <t>32e de finale 12</t>
  </si>
  <si>
    <t>32e de finale 13</t>
  </si>
  <si>
    <t>32e de finale 14</t>
  </si>
  <si>
    <t>32e de finale 15</t>
  </si>
  <si>
    <t>32e de finale 16</t>
  </si>
  <si>
    <t>Round of 32 - 1</t>
  </si>
  <si>
    <t>Round of 32 - 2</t>
  </si>
  <si>
    <t>Round of 32 - 3</t>
  </si>
  <si>
    <t>Round of 32 - 4</t>
  </si>
  <si>
    <t>Round of 32 - 5</t>
  </si>
  <si>
    <t>Round of 32 - 6</t>
  </si>
  <si>
    <t>Round of 32 - 7</t>
  </si>
  <si>
    <t>Round of 32 - 8</t>
  </si>
  <si>
    <t>Round of 32 - 9</t>
  </si>
  <si>
    <t>Round of 32 - 10</t>
  </si>
  <si>
    <t>Round of 32 - 11</t>
  </si>
  <si>
    <t>Round of 32 - 12</t>
  </si>
  <si>
    <t>Round of 32 - 13</t>
  </si>
  <si>
    <t>Round of 32 - 14</t>
  </si>
  <si>
    <t>Round of 32 - 15</t>
  </si>
  <si>
    <t>Round of 32 - 16</t>
  </si>
  <si>
    <t>Coupe du monde 2026 au Canada/Mexique/États-Unis</t>
  </si>
  <si>
    <t>World Cup 2026 in Canada/Mexico/USA</t>
  </si>
  <si>
    <t>Mondiali 2026 in Canada/Messico/Stati Uniti</t>
  </si>
  <si>
    <t>Copa del Mundo 2026 en Canadá/México/Estados Unidos</t>
  </si>
  <si>
    <t>WK voetbal 2026 - Canada/Mexico/VS</t>
  </si>
  <si>
    <t>ronde van 32 - 1</t>
  </si>
  <si>
    <t>ronde van 32 - 2</t>
  </si>
  <si>
    <t>ronde van 32 - 3</t>
  </si>
  <si>
    <t>ronde van 32 - 4</t>
  </si>
  <si>
    <t>ronde van 32 - 5</t>
  </si>
  <si>
    <t>ronde van 32 - 6</t>
  </si>
  <si>
    <t>ronde van 32 - 7</t>
  </si>
  <si>
    <t>ronde van 32 - 8</t>
  </si>
  <si>
    <t>ronde van 32 - 9</t>
  </si>
  <si>
    <t>ronde van 32 - 10</t>
  </si>
  <si>
    <t>ronde van 32 - 11</t>
  </si>
  <si>
    <t>ronde van 32 - 12</t>
  </si>
  <si>
    <t>ronde van 32 - 13</t>
  </si>
  <si>
    <t>ronde van 32 - 14</t>
  </si>
  <si>
    <t>ronde van 32 - 15</t>
  </si>
  <si>
    <t>ronde van 32 - 16</t>
  </si>
  <si>
    <t>girone di 32 - 1</t>
  </si>
  <si>
    <t>girone di 32 - 2</t>
  </si>
  <si>
    <t>girone di 32 - 3</t>
  </si>
  <si>
    <t>girone di 32 - 4</t>
  </si>
  <si>
    <t>girone di 32 - 5</t>
  </si>
  <si>
    <t>girone di 32 - 6</t>
  </si>
  <si>
    <t>girone di 32 - 7</t>
  </si>
  <si>
    <t>girone di 32 - 8</t>
  </si>
  <si>
    <t>girone di 32 - 9</t>
  </si>
  <si>
    <t>girone di 32 - 10</t>
  </si>
  <si>
    <t>girone di 32 - 11</t>
  </si>
  <si>
    <t>girone di 32 - 12</t>
  </si>
  <si>
    <t>girone di 32 - 13</t>
  </si>
  <si>
    <t>girone di 32 - 14</t>
  </si>
  <si>
    <t>girone di 32 - 15</t>
  </si>
  <si>
    <t>girone di 32 - 16</t>
  </si>
  <si>
    <t>ronda de 32 - 1</t>
  </si>
  <si>
    <t>ronda de 32 - 2</t>
  </si>
  <si>
    <t>ronda de 32 - 3</t>
  </si>
  <si>
    <t>ronda de 32 - 4</t>
  </si>
  <si>
    <t>ronda de 32 - 5</t>
  </si>
  <si>
    <t>ronda de 32 - 6</t>
  </si>
  <si>
    <t>ronda de 32 - 7</t>
  </si>
  <si>
    <t>ronda de 32 - 8</t>
  </si>
  <si>
    <t>ronda de 32 - 9</t>
  </si>
  <si>
    <t>ronda de 32 - 10</t>
  </si>
  <si>
    <t>ronda de 32 - 11</t>
  </si>
  <si>
    <t>ronda de 32 - 12</t>
  </si>
  <si>
    <t>ronda de 32 - 13</t>
  </si>
  <si>
    <t>ronda de 32 - 14</t>
  </si>
  <si>
    <t>ronda de 32 - 15</t>
  </si>
  <si>
    <t>ronda de 32 - 16</t>
  </si>
  <si>
    <t>New York/New Jersey</t>
  </si>
  <si>
    <t>San Francisco Bay Area</t>
  </si>
  <si>
    <t>Guadalajara</t>
  </si>
  <si>
    <t>Monterrey</t>
  </si>
  <si>
    <t>Dallas</t>
  </si>
  <si>
    <t>World Champion</t>
  </si>
  <si>
    <t>Campeón del Mundo</t>
  </si>
  <si>
    <t>Campione del mondo</t>
  </si>
  <si>
    <t>Champion du monde</t>
  </si>
  <si>
    <t>Weltmeister</t>
  </si>
  <si>
    <t>Wereldkampioen</t>
  </si>
  <si>
    <t>https://hermann-baum.de/excel/WorldCup/de</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</si>
  <si>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</si>
  <si>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</si>
  <si>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</si>
  <si>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</si>
  <si>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</si>
  <si>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</si>
  <si>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</si>
  <si>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</si>
  <si>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</si>
  <si>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</si>
  <si>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</si>
  <si>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</si>
  <si>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</si>
  <si>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</si>
  <si>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</si>
  <si>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</si>
  <si>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</si>
  <si>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</si>
  <si>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</si>
  <si>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</si>
  <si>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</si>
  <si>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</si>
  <si>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</si>
  <si>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</si>
  <si>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</si>
  <si>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A4</t>
  </si>
  <si>
    <t>B4</t>
  </si>
  <si>
    <t>C4</t>
  </si>
  <si>
    <t>D4</t>
  </si>
  <si>
    <t>E4</t>
  </si>
  <si>
    <t>F4</t>
  </si>
  <si>
    <t>G4</t>
  </si>
  <si>
    <t>H4</t>
  </si>
  <si>
    <t>I4</t>
  </si>
  <si>
    <t>J4</t>
  </si>
  <si>
    <t>K4</t>
  </si>
  <si>
    <t>L4</t>
  </si>
  <si>
    <t>W79</t>
  </si>
  <si>
    <t>W81</t>
  </si>
  <si>
    <t>W83</t>
  </si>
  <si>
    <t>W85</t>
  </si>
  <si>
    <t>W87</t>
  </si>
  <si>
    <t>W80</t>
  </si>
  <si>
    <t>W82</t>
  </si>
  <si>
    <t>W84</t>
  </si>
  <si>
    <t>W86</t>
  </si>
  <si>
    <t>W88</t>
  </si>
  <si>
    <t>W89</t>
  </si>
  <si>
    <t>W91</t>
  </si>
  <si>
    <t>W93</t>
  </si>
  <si>
    <t>W95</t>
  </si>
  <si>
    <t>W90</t>
  </si>
  <si>
    <t>W92</t>
  </si>
  <si>
    <t>W94</t>
  </si>
  <si>
    <t>W96</t>
  </si>
  <si>
    <t>W97</t>
  </si>
  <si>
    <t>W98</t>
  </si>
  <si>
    <t>W99</t>
  </si>
  <si>
    <t>W100</t>
  </si>
  <si>
    <t>RU101</t>
  </si>
  <si>
    <t>RU102</t>
  </si>
  <si>
    <t>W101</t>
  </si>
  <si>
    <t>W102</t>
  </si>
  <si>
    <t>Group combination:</t>
  </si>
  <si>
    <t>Combinación de grupos:</t>
  </si>
  <si>
    <t>Combinazione di gruppi:</t>
  </si>
  <si>
    <t>Combinaison de groupes :</t>
  </si>
  <si>
    <t>Gruppen-kombination:</t>
  </si>
  <si>
    <t>Groeps-combinatie:</t>
  </si>
  <si>
    <t>First in Group</t>
  </si>
  <si>
    <t>Primero del Grupo</t>
  </si>
  <si>
    <t>Primo nel gruppo</t>
  </si>
  <si>
    <t>Premier du groupe</t>
  </si>
  <si>
    <t>Erster der Gruppe</t>
  </si>
  <si>
    <t>Eerste in groep</t>
  </si>
  <si>
    <t>against third of Group</t>
  </si>
  <si>
    <t>contra la tercera parte del Grupo</t>
  </si>
  <si>
    <t>contro il terzo del gruppo</t>
  </si>
  <si>
    <t>contre le troisième du groupe</t>
  </si>
  <si>
    <t>gegen Dritten der Gruppe</t>
  </si>
  <si>
    <t>tegen derde in groep</t>
  </si>
  <si>
    <t>Zuordnung der Gruppendritten im Sechzehntelfinale</t>
  </si>
  <si>
    <t>Toewijzing van beste derde plaatsen naar de ronde van 32</t>
  </si>
  <si>
    <t>Attribution de la troisième place du groupe en 32e de finale</t>
  </si>
  <si>
    <t>Assegnazione del terzo gruppo agli girone di 32</t>
  </si>
  <si>
    <t>Asignación del grupo tercero en los dieciseisavos de final</t>
  </si>
  <si>
    <t>Assignment of the group third in the round of 32</t>
  </si>
  <si>
    <t>Pts</t>
  </si>
  <si>
    <t>GF</t>
  </si>
  <si>
    <t>GA</t>
  </si>
  <si>
    <t>Grp</t>
  </si>
  <si>
    <t>5.</t>
  </si>
  <si>
    <t>6.</t>
  </si>
  <si>
    <t>:</t>
  </si>
  <si>
    <t>Red dot:</t>
  </si>
  <si>
    <t>7.</t>
  </si>
  <si>
    <t>8.</t>
  </si>
  <si>
    <t>9.</t>
  </si>
  <si>
    <t>10.</t>
  </si>
  <si>
    <t>11.</t>
  </si>
  <si>
    <t>12.</t>
  </si>
  <si>
    <t>Third in the group</t>
  </si>
  <si>
    <t>Tercero del grupo</t>
  </si>
  <si>
    <t>Terzo nel gruppo</t>
  </si>
  <si>
    <t>Troisième du groupe</t>
  </si>
  <si>
    <t>Gruppendritte</t>
  </si>
  <si>
    <t>Derde van de groep</t>
  </si>
  <si>
    <t>ABCDEFGH</t>
  </si>
  <si>
    <t>ABCDEFGI</t>
  </si>
  <si>
    <t>ABCDEFGJ</t>
  </si>
  <si>
    <t>ABCDEFGK</t>
  </si>
  <si>
    <t>ABCDEFGL</t>
  </si>
  <si>
    <t>ABCDEFHI</t>
  </si>
  <si>
    <t>ABCDEFHJ</t>
  </si>
  <si>
    <t>ABCDEFHK</t>
  </si>
  <si>
    <t>ABCDEFHL</t>
  </si>
  <si>
    <t>ABCDEFIJ</t>
  </si>
  <si>
    <t>ABCDEFIK</t>
  </si>
  <si>
    <t>ABCDEFIL</t>
  </si>
  <si>
    <t>ABCDEFJK</t>
  </si>
  <si>
    <t>ABCDEFJL</t>
  </si>
  <si>
    <t>ABCDEFKL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</si>
  <si>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</si>
  <si>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</si>
  <si>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</si>
  <si>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</si>
  <si>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</si>
  <si>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</si>
  <si>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</si>
  <si>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</si>
  <si>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</si>
  <si>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</si>
  <si>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</si>
  <si>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</si>
  <si>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</si>
  <si>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</si>
  <si>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</si>
  <si>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</si>
  <si>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</si>
  <si>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</si>
  <si>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</si>
  <si>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</si>
  <si>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</si>
  <si>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</si>
  <si>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</si>
  <si>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</si>
  <si>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</si>
  <si>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</si>
  <si>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</si>
  <si>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</si>
  <si>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</si>
  <si>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</si>
  <si>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</si>
  <si>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</si>
  <si>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</si>
  <si>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</si>
  <si>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</si>
  <si>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</si>
  <si>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</si>
  <si>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</si>
  <si>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</si>
  <si>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</si>
  <si>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</si>
  <si>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</si>
  <si>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</si>
  <si>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</si>
  <si>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</si>
  <si>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</si>
  <si>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</si>
  <si>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</si>
  <si>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</si>
  <si>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</si>
  <si>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</si>
  <si>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</si>
  <si>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</si>
  <si>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</si>
  <si>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</si>
  <si>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</si>
  <si>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</si>
  <si>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</si>
  <si>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</si>
  <si>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</si>
  <si>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</si>
  <si>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</si>
  <si>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</si>
  <si>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</si>
  <si>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</si>
  <si>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</si>
  <si>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</si>
  <si>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ABCEFHIL</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</si>
  <si>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</si>
  <si>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</si>
  <si>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</si>
  <si>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</si>
  <si>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</si>
  <si>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</si>
  <si>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</si>
  <si>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</si>
  <si>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</si>
  <si>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</si>
  <si>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</si>
  <si>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</si>
  <si>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</si>
  <si>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</si>
  <si>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</si>
  <si>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</si>
  <si>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</si>
  <si>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</si>
  <si>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</si>
  <si>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</si>
  <si>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</si>
  <si>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</si>
  <si>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</si>
  <si>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</si>
  <si>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</si>
  <si>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</si>
  <si>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</si>
  <si>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</si>
  <si>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</si>
  <si>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</si>
  <si>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</si>
  <si>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</si>
  <si>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</si>
  <si>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</si>
  <si>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</si>
  <si>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</si>
  <si>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</si>
  <si>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</si>
  <si>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</si>
  <si>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</si>
  <si>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</si>
  <si>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</si>
  <si>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</si>
  <si>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</si>
  <si>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</si>
  <si>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</si>
  <si>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</si>
  <si>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</si>
  <si>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</si>
  <si>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</si>
  <si>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</si>
  <si>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</si>
  <si>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</si>
  <si>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</si>
  <si>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</si>
  <si>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</si>
  <si>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</si>
  <si>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</si>
  <si>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</si>
  <si>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</si>
  <si>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</si>
  <si>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</si>
  <si>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</si>
  <si>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</si>
  <si>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</si>
  <si>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</si>
  <si>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</si>
  <si>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</si>
  <si>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</si>
  <si>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</si>
  <si>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</si>
  <si>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</si>
  <si>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</si>
  <si>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</si>
  <si>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</si>
  <si>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</si>
  <si>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</si>
  <si>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</si>
  <si>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</si>
  <si>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</si>
  <si>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</si>
  <si>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</si>
  <si>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</si>
  <si>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</si>
  <si>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</si>
  <si>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</si>
  <si>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</si>
  <si>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</si>
  <si>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</si>
  <si>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</si>
  <si>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</si>
  <si>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</si>
  <si>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</si>
  <si>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</si>
  <si>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</si>
  <si>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</si>
  <si>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</si>
  <si>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</si>
  <si>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</si>
  <si>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</si>
  <si>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</si>
  <si>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</si>
  <si>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</si>
  <si>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</si>
  <si>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</si>
  <si>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</si>
  <si>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</si>
  <si>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</si>
  <si>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</si>
  <si>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</si>
  <si>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</si>
  <si>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</si>
  <si>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</si>
  <si>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</si>
  <si>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</si>
  <si>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</si>
  <si>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</si>
  <si>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</si>
  <si>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</si>
  <si>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</si>
  <si>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</si>
  <si>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</si>
  <si>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</si>
  <si>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</si>
  <si>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</si>
  <si>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</si>
  <si>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</si>
  <si>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ACDEFGHI</t>
  </si>
  <si>
    <t>ACDEFGHJ</t>
  </si>
  <si>
    <t>ACDEFGHK</t>
  </si>
  <si>
    <t>ACDEFGHL</t>
  </si>
  <si>
    <t>ACDEFGIJ</t>
  </si>
  <si>
    <t>ACDEFGIK</t>
  </si>
  <si>
    <t>ACDEFGIL</t>
  </si>
  <si>
    <t>ACDEFGJK</t>
  </si>
  <si>
    <t>ACDEFGJL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</si>
  <si>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</si>
  <si>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</si>
  <si>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</si>
  <si>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</si>
  <si>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</si>
  <si>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</si>
  <si>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</si>
  <si>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</si>
  <si>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</si>
  <si>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</si>
  <si>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</si>
  <si>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</si>
  <si>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</si>
  <si>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</si>
  <si>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</si>
  <si>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</si>
  <si>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</si>
  <si>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</si>
  <si>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</si>
  <si>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</si>
  <si>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</si>
  <si>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</si>
  <si>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</si>
  <si>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</si>
  <si>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</si>
  <si>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</si>
  <si>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</si>
  <si>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</si>
  <si>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</si>
  <si>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</si>
  <si>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</si>
  <si>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</si>
  <si>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</si>
  <si>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</si>
  <si>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</si>
  <si>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</si>
  <si>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</si>
  <si>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</si>
  <si>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</si>
  <si>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</si>
  <si>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</si>
  <si>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</si>
  <si>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</si>
  <si>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</si>
  <si>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</si>
  <si>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</si>
  <si>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</si>
  <si>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</si>
  <si>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</si>
  <si>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</si>
  <si>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</si>
  <si>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</si>
  <si>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</si>
  <si>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</si>
  <si>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</si>
  <si>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</si>
  <si>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</si>
  <si>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</si>
  <si>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</si>
  <si>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</si>
  <si>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</si>
  <si>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</si>
  <si>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</si>
  <si>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</si>
  <si>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</si>
  <si>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</si>
  <si>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</si>
  <si>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</si>
  <si>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</si>
  <si>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</si>
  <si>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</si>
  <si>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</si>
  <si>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</si>
  <si>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</si>
  <si>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</si>
  <si>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ADEFGHIJ</t>
  </si>
  <si>
    <t>ADEFGHIK</t>
  </si>
  <si>
    <t>ADEFGHIL</t>
  </si>
  <si>
    <t>ADEFGHJK</t>
  </si>
  <si>
    <t>ADEFGHJL</t>
  </si>
  <si>
    <t>ADEFGHKL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</si>
  <si>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</si>
  <si>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</si>
  <si>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</si>
  <si>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</si>
  <si>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</si>
  <si>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</si>
  <si>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</si>
  <si>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</si>
  <si>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</si>
  <si>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</si>
  <si>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</si>
  <si>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</si>
  <si>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</si>
  <si>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</si>
  <si>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</si>
  <si>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</si>
  <si>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</si>
  <si>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</si>
  <si>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</si>
  <si>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</si>
  <si>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</si>
  <si>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</si>
  <si>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AEFGHIJK</t>
  </si>
  <si>
    <t>AEFGHIJL</t>
  </si>
  <si>
    <t>AEFGHIKL</t>
  </si>
  <si>
    <t>AEFGHJKL</t>
  </si>
  <si>
    <t>AEFGIJKL</t>
  </si>
  <si>
    <t>AEFHIJKL</t>
  </si>
  <si>
    <t>AEGHIJKL</t>
  </si>
  <si>
    <t>AFGHIJKL</t>
  </si>
  <si>
    <t>BCDEFGHI</t>
  </si>
  <si>
    <t>BCDEFGHJ</t>
  </si>
  <si>
    <t>BCDEFGHK</t>
  </si>
  <si>
    <t>BCDEFGHL</t>
  </si>
  <si>
    <t>BCDEFGIJ</t>
  </si>
  <si>
    <t>BCDEFGIK</t>
  </si>
  <si>
    <t>BCDEFGIL</t>
  </si>
  <si>
    <t>BCDEFGJK</t>
  </si>
  <si>
    <t>BCDEFGJL</t>
  </si>
  <si>
    <t>BCDEFGKL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</si>
  <si>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</si>
  <si>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</si>
  <si>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</si>
  <si>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</si>
  <si>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</si>
  <si>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</si>
  <si>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</si>
  <si>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</si>
  <si>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</si>
  <si>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</si>
  <si>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</si>
  <si>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</si>
  <si>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</si>
  <si>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</si>
  <si>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</si>
  <si>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</si>
  <si>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</si>
  <si>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</si>
  <si>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</si>
  <si>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</si>
  <si>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</si>
  <si>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</si>
  <si>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</si>
  <si>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</si>
  <si>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</si>
  <si>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</si>
  <si>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</si>
  <si>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</si>
  <si>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</si>
  <si>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</si>
  <si>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</si>
  <si>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</si>
  <si>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</si>
  <si>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</si>
  <si>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</si>
  <si>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</si>
  <si>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</si>
  <si>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</si>
  <si>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</si>
  <si>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</si>
  <si>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</si>
  <si>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</si>
  <si>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</si>
  <si>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</si>
  <si>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</si>
  <si>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</si>
  <si>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</si>
  <si>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</si>
  <si>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</si>
  <si>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</si>
  <si>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</si>
  <si>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</si>
  <si>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</si>
  <si>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</si>
  <si>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</si>
  <si>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</si>
  <si>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</si>
  <si>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</si>
  <si>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</si>
  <si>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</si>
  <si>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</si>
  <si>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</si>
  <si>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</si>
  <si>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</si>
  <si>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</si>
  <si>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</si>
  <si>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</si>
  <si>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</si>
  <si>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</si>
  <si>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</si>
  <si>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</si>
  <si>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</si>
  <si>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</si>
  <si>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</si>
  <si>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BDEFGHIJ</t>
  </si>
  <si>
    <t>BDEFGHIK</t>
  </si>
  <si>
    <t>BDEFGHIL</t>
  </si>
  <si>
    <t>BDEFGHJK</t>
  </si>
  <si>
    <t>BDEFGHJL</t>
  </si>
  <si>
    <t>BDEFGHKL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</si>
  <si>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</si>
  <si>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</si>
  <si>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</si>
  <si>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</si>
  <si>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</si>
  <si>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</si>
  <si>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</si>
  <si>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</si>
  <si>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</si>
  <si>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</si>
  <si>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</si>
  <si>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</si>
  <si>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</si>
  <si>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</si>
  <si>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</si>
  <si>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</si>
  <si>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</si>
  <si>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</si>
  <si>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</si>
  <si>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</si>
  <si>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</si>
  <si>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</si>
  <si>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BEFGHIJK</t>
  </si>
  <si>
    <t>BEFGHIJL</t>
  </si>
  <si>
    <t>BEFGHIKL</t>
  </si>
  <si>
    <t>BEFGHJKL</t>
  </si>
  <si>
    <t>BEFGIJKL</t>
  </si>
  <si>
    <t>BEFHIJKL</t>
  </si>
  <si>
    <t>BEGHIJKL</t>
  </si>
  <si>
    <t>BFGHIJKL</t>
  </si>
  <si>
    <t>CDEFGHIJ</t>
  </si>
  <si>
    <t>CDEFGHIK</t>
  </si>
  <si>
    <t>CDEFGHIL</t>
  </si>
  <si>
    <t>CDEFGHJK</t>
  </si>
  <si>
    <t>CDEFGHJL</t>
  </si>
  <si>
    <t>CDEFGHKL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</si>
  <si>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</si>
  <si>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</si>
  <si>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</si>
  <si>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</si>
  <si>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</si>
  <si>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</si>
  <si>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</si>
  <si>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</si>
  <si>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</si>
  <si>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</si>
  <si>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</si>
  <si>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</si>
  <si>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</si>
  <si>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</si>
  <si>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</si>
  <si>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</si>
  <si>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</si>
  <si>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</si>
  <si>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</si>
  <si>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</si>
  <si>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</si>
  <si>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</si>
  <si>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CEFGHIJK</t>
  </si>
  <si>
    <t>CEFGHIJL</t>
  </si>
  <si>
    <t>CEFGHIKL</t>
  </si>
  <si>
    <t>CEFGHJKL</t>
  </si>
  <si>
    <t>CEFGIJKL</t>
  </si>
  <si>
    <t>CEFHIJKL</t>
  </si>
  <si>
    <t>CEGHIJKL</t>
  </si>
  <si>
    <t>CFGHIJKL</t>
  </si>
  <si>
    <t>DEFGHIJK</t>
  </si>
  <si>
    <t>DEFGHIJL</t>
  </si>
  <si>
    <t>DEFGHIKL</t>
  </si>
  <si>
    <t>DEFGHJKL</t>
  </si>
  <si>
    <t>DEFGIJKL</t>
  </si>
  <si>
    <t>DEFHIJKL</t>
  </si>
  <si>
    <t>DEGHIJKL</t>
  </si>
  <si>
    <t>DFGHIJKL</t>
  </si>
  <si>
    <t>EFGHIJKL</t>
  </si>
  <si>
    <t>Gruppenkombination:</t>
  </si>
  <si>
    <t>Groepscombinatie:</t>
  </si>
  <si>
    <t>Not qualified:</t>
  </si>
  <si>
    <t>No está cualificado:</t>
  </si>
  <si>
    <t>Non qualificato:</t>
  </si>
  <si>
    <t>Non qualifié :</t>
  </si>
  <si>
    <t>Nicht qualifiziert:</t>
  </si>
  <si>
    <t>Niet gekwalificeerd:</t>
  </si>
  <si>
    <t>Number of all games:</t>
  </si>
  <si>
    <t>4A</t>
  </si>
  <si>
    <t>4B</t>
  </si>
  <si>
    <t>4C</t>
  </si>
  <si>
    <t>4D</t>
  </si>
  <si>
    <t>4E</t>
  </si>
  <si>
    <t>4F</t>
  </si>
  <si>
    <t>4G</t>
  </si>
  <si>
    <t>4H</t>
  </si>
  <si>
    <t>4I</t>
  </si>
  <si>
    <t>4J</t>
  </si>
  <si>
    <t>4K</t>
  </si>
  <si>
    <t>4L</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</si>
  <si>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</si>
  <si>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</si>
  <si>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</si>
  <si>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</si>
  <si>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</si>
  <si>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</si>
  <si>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</si>
  <si>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</si>
  <si>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</si>
  <si>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</si>
  <si>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</si>
  <si>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</si>
  <si>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</si>
  <si>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</si>
  <si>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</si>
  <si>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</si>
  <si>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</si>
  <si>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</si>
  <si>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</si>
  <si>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</si>
  <si>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</si>
  <si>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</si>
  <si>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</si>
  <si>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</si>
  <si>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</si>
  <si>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</si>
  <si>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</si>
  <si>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</si>
  <si>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</si>
  <si>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</si>
  <si>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</si>
  <si>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</si>
  <si>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</si>
  <si>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</si>
  <si>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</si>
  <si>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</si>
  <si>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</si>
  <si>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</si>
  <si>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</si>
  <si>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</si>
  <si>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</si>
  <si>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</si>
  <si>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</si>
  <si>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</si>
  <si>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ronda de 32</t>
  </si>
  <si>
    <t>32e de finale</t>
  </si>
  <si>
    <t>ronde van 32</t>
  </si>
  <si>
    <t>Anzahl:</t>
  </si>
  <si>
    <t>Number:</t>
  </si>
  <si>
    <t>Nombre:</t>
  </si>
  <si>
    <t>Numero:</t>
  </si>
  <si>
    <t>Número:</t>
  </si>
  <si>
    <t>Nummer:</t>
  </si>
  <si>
    <t>Punkte:</t>
  </si>
  <si>
    <t>Points:</t>
  </si>
  <si>
    <t>Punten:</t>
  </si>
  <si>
    <t>Puntos:</t>
  </si>
  <si>
    <t>Punti:</t>
  </si>
  <si>
    <t>3-ABCDF</t>
  </si>
  <si>
    <t>3-CDFGH</t>
  </si>
  <si>
    <t>3-EHIJK</t>
  </si>
  <si>
    <t>3-DEIJL</t>
  </si>
  <si>
    <t>3-CEFHI</t>
  </si>
  <si>
    <t>3-BEFIJ</t>
  </si>
  <si>
    <t>3-AEHIJ</t>
  </si>
  <si>
    <t>3-EFGIJ</t>
  </si>
  <si>
    <t>Hermann Baum</t>
  </si>
  <si>
    <t>Played</t>
  </si>
  <si>
    <t>Fernsehsender</t>
  </si>
  <si>
    <t>TV channel</t>
  </si>
  <si>
    <t>canal de televisión</t>
  </si>
  <si>
    <t>canale tv</t>
  </si>
  <si>
    <t>chaîne TV</t>
  </si>
  <si>
    <t>tv kanaal</t>
  </si>
  <si>
    <t>Evento</t>
  </si>
  <si>
    <t>Luogo</t>
  </si>
  <si>
    <t>Lieu</t>
  </si>
  <si>
    <t>Austragungsort</t>
  </si>
  <si>
    <t>Locatie</t>
  </si>
  <si>
    <t>FIFA, 23.06.2025</t>
  </si>
  <si>
    <t>ranking</t>
  </si>
  <si>
    <t>Gruppen mit Fair-Play-Wertung:</t>
  </si>
  <si>
    <t>Groepen met Fair-Play score:</t>
  </si>
  <si>
    <t>Groupes avec valorisation fair-play :</t>
  </si>
  <si>
    <t>Gruppi con valutazione fair play:</t>
  </si>
  <si>
    <t>Grupos con valoración de fair play:</t>
  </si>
  <si>
    <t>Groups with fair play valuation:</t>
  </si>
  <si>
    <t>Saudiarabien</t>
  </si>
  <si>
    <t>Republik Irland</t>
  </si>
  <si>
    <t>DR Kongo</t>
  </si>
  <si>
    <t>Jordanien</t>
  </si>
  <si>
    <t>Vereinigte Arabische Emirate</t>
  </si>
  <si>
    <t>Curaçao</t>
  </si>
  <si>
    <t>Haiti</t>
  </si>
  <si>
    <t>RI Iran</t>
  </si>
  <si>
    <t>IR Irán</t>
  </si>
  <si>
    <t>Fair-play</t>
  </si>
  <si>
    <t>Fair-Play</t>
  </si>
  <si>
    <t>Jordan</t>
  </si>
  <si>
    <t>Jordán</t>
  </si>
  <si>
    <t>Giordania</t>
  </si>
  <si>
    <t>Jordanie</t>
  </si>
  <si>
    <t>Jordanië</t>
  </si>
  <si>
    <t>Saoedi-Arabië</t>
  </si>
  <si>
    <t>Arabie Saoudite</t>
  </si>
  <si>
    <t>Arabia Saudita</t>
  </si>
  <si>
    <t>Saudi Arabia</t>
  </si>
  <si>
    <t>Cape Verde</t>
  </si>
  <si>
    <t>Cabo Verde</t>
  </si>
  <si>
    <t>Capo Verde</t>
  </si>
  <si>
    <t>Cap-Vert</t>
  </si>
  <si>
    <t>Kaapverdië</t>
  </si>
  <si>
    <t>Curacao</t>
  </si>
  <si>
    <t>Curazao</t>
  </si>
  <si>
    <t>Haïti</t>
  </si>
  <si>
    <t>New Zealand</t>
  </si>
  <si>
    <t>Nieuw-Zeeland</t>
  </si>
  <si>
    <t>Nuova Zelanda</t>
  </si>
  <si>
    <t>Nueva Zelanda</t>
  </si>
  <si>
    <t>Nouv.-Zélande</t>
  </si>
  <si>
    <t>RANK</t>
  </si>
  <si>
    <t>fair play</t>
  </si>
  <si>
    <t>final</t>
  </si>
  <si>
    <t>overall</t>
  </si>
  <si>
    <t>Pld</t>
  </si>
  <si>
    <t>W</t>
  </si>
  <si>
    <t>cr.1</t>
  </si>
  <si>
    <t>add</t>
  </si>
  <si>
    <t>cr.2</t>
  </si>
  <si>
    <t>cr.3</t>
  </si>
  <si>
    <t>cr.4</t>
  </si>
  <si>
    <t>cr.5</t>
  </si>
  <si>
    <t>cr.6</t>
  </si>
  <si>
    <t>cr.7</t>
  </si>
  <si>
    <t>DC 1</t>
  </si>
  <si>
    <t>DC 2</t>
  </si>
  <si>
    <t>cr.8</t>
  </si>
  <si>
    <t>cr.9</t>
  </si>
  <si>
    <t>cr.10</t>
  </si>
  <si>
    <t>second</t>
  </si>
  <si>
    <t>DC ?</t>
  </si>
  <si>
    <t>DC 1.1</t>
  </si>
  <si>
    <t>DC 1.2</t>
  </si>
  <si>
    <t>DC 2.1</t>
  </si>
  <si>
    <t>DC 2.2</t>
  </si>
  <si>
    <t>pos</t>
  </si>
  <si>
    <t>red dot</t>
  </si>
  <si>
    <t>ind</t>
  </si>
  <si>
    <t>played</t>
  </si>
  <si>
    <t>WRL</t>
  </si>
  <si>
    <t>cr.11</t>
  </si>
  <si>
    <t>FactorFor</t>
  </si>
  <si>
    <t>FactorGD</t>
  </si>
  <si>
    <t>FactorPts</t>
  </si>
  <si>
    <t>FactorFairPlay</t>
  </si>
  <si>
    <t>FactorRank</t>
  </si>
  <si>
    <t>Direktvergleich 1</t>
  </si>
  <si>
    <t>Face-à-face 1</t>
  </si>
  <si>
    <t>record testa a testa 1</t>
  </si>
  <si>
    <t>récord de enfrentamientos directos 1</t>
  </si>
  <si>
    <t>onderlinge resultaten 1</t>
  </si>
  <si>
    <t>head-to-head record 1</t>
  </si>
  <si>
    <t>head-to-head record 2</t>
  </si>
  <si>
    <t>head-to-head record 3</t>
  </si>
  <si>
    <t>récord de enfrentamientos directos 2</t>
  </si>
  <si>
    <t>récord de enfrentamientos directos 3</t>
  </si>
  <si>
    <t>record testa a testa 2</t>
  </si>
  <si>
    <t>record testa a testa 3</t>
  </si>
  <si>
    <t>Face-à-face 2</t>
  </si>
  <si>
    <t>Face-à-face 3</t>
  </si>
  <si>
    <t>Direktvergleich 2</t>
  </si>
  <si>
    <t>Direktvergleich 3</t>
  </si>
  <si>
    <t>onderlinge resultaten 2</t>
  </si>
  <si>
    <t>onderlinge resultaten 3</t>
  </si>
  <si>
    <t>Overall table</t>
  </si>
  <si>
    <t>Gesamttabelle</t>
  </si>
  <si>
    <t>Overzichtstabel</t>
  </si>
  <si>
    <t>Tabella generale</t>
  </si>
  <si>
    <t>Tabla general</t>
  </si>
  <si>
    <t>Ein roter Punkt bedeutet, dass die Fair-Play-Wertung oder die FIFA-Weltrangliste über die Platzierung dieses Teams entscheidet</t>
  </si>
  <si>
    <t>A red dot means that the fair play rating or the FIFA world ranking will determine this team's placement</t>
  </si>
  <si>
    <t>Un punto rojo significa que la calificación de juego limpio o la clasificación mundial de la FIFA determinarán la ubicación de este equipo</t>
  </si>
  <si>
    <t>Un point rouge signifie que le classement de cette équipe sera déterminé par le système de fair-play financier ou par le classement mondial FIFA</t>
  </si>
  <si>
    <t>Un punto rosso significa che il posizionamento di questa squadra sarà determinato dal punteggio fair play o dalla classifica mondiale FIFA</t>
  </si>
  <si>
    <t>Een rode stip betekent dat de fair play rating of de FIFA-wereldranking de plaatsing van dit team zal bepalen</t>
  </si>
  <si>
    <t>Wertung</t>
  </si>
  <si>
    <t>Rating</t>
  </si>
  <si>
    <t>Beoordeling</t>
  </si>
  <si>
    <t>Évaluation</t>
  </si>
  <si>
    <t>Valutazione</t>
  </si>
  <si>
    <t>Clasificación</t>
  </si>
  <si>
    <t>FIFA Rang</t>
  </si>
  <si>
    <t>FIFA Rank</t>
  </si>
  <si>
    <t>Clasif. FIFA</t>
  </si>
  <si>
    <t>Class. FIFA</t>
  </si>
  <si>
    <t>FIFA-rank.</t>
  </si>
  <si>
    <t>Intermediate results for compatibility with Google Sheets</t>
  </si>
  <si>
    <t>(wiederholter DV)</t>
  </si>
  <si>
    <t>(ripetuto)</t>
  </si>
  <si>
    <t>(repetido)</t>
  </si>
  <si>
    <t>(repeated)</t>
  </si>
  <si>
    <t>(herhaalde)</t>
  </si>
  <si>
    <t>(répété)</t>
  </si>
  <si>
    <t>Kosovo</t>
  </si>
  <si>
    <t>Guinea</t>
  </si>
  <si>
    <t>Syrien</t>
  </si>
  <si>
    <t>Uganda</t>
  </si>
  <si>
    <t>Angola</t>
  </si>
  <si>
    <t>Play-Off 1</t>
  </si>
  <si>
    <t>Play-Off 2</t>
  </si>
  <si>
    <t>Play-Off A</t>
  </si>
  <si>
    <t>Play-Off B</t>
  </si>
  <si>
    <t>Play-Off C</t>
  </si>
  <si>
    <t>Play-Off D</t>
  </si>
  <si>
    <t>Here, the penalty points for the fair play rating can be entered.</t>
  </si>
  <si>
    <t>Aquí se pueden introducir los puntos de penalización para la valoración del juego limpio.</t>
  </si>
  <si>
    <t>Qui è possibile inserire i punti di penalità per la valutazione fair play.</t>
  </si>
  <si>
    <t>Ici, les points de pénalité pour la notation du fair-play peuvent être saisis.</t>
  </si>
  <si>
    <t>Hier können die Minuspunkte der Fair-Play-Wertung eingetragen werden.</t>
  </si>
  <si>
    <t>Hier kunnen de strafpunten voor de fair play-beoordeling worden ingevoerd.</t>
  </si>
  <si>
    <t>DR Congo</t>
  </si>
  <si>
    <t>RD Congo</t>
  </si>
  <si>
    <t>Benin</t>
  </si>
  <si>
    <t>Bosnia/Herzeg.</t>
  </si>
  <si>
    <t>Bosnia/Erzeg.</t>
  </si>
  <si>
    <t>Bosnie-Herzég.</t>
  </si>
  <si>
    <t>Bosnien/Herzeg.</t>
  </si>
  <si>
    <t>Bosnië/Herzeg.</t>
  </si>
  <si>
    <t>Czech Rep.</t>
  </si>
  <si>
    <t>Checa</t>
  </si>
  <si>
    <t>Ceca</t>
  </si>
  <si>
    <t>Rép. Tchèque</t>
  </si>
  <si>
    <t>Tschechien</t>
  </si>
  <si>
    <t>Tsjechië</t>
  </si>
  <si>
    <t>Rep. of Korea</t>
  </si>
  <si>
    <t>Rep. de Corea</t>
  </si>
  <si>
    <t>Rep. di Corea</t>
  </si>
  <si>
    <t>Rép. de Corée</t>
  </si>
  <si>
    <t>Südkorea</t>
  </si>
  <si>
    <t>Rep. Korea</t>
  </si>
  <si>
    <t>UTC - 2:30</t>
  </si>
  <si>
    <t>NDT</t>
  </si>
  <si>
    <t>hb/vers. 4.2.5_X
2026-04-27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</si>
</sst>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7]ddd/\,\ d/mm/yy"/>
    <numFmt numFmtId="165" formatCode="ddd\,\ dd/mm/yyyy\ \ \ \ \ \ hh:mm"/>
    <numFmt numFmtId="166" formatCode="ddd\,\ dd/mm/yyyy\ \ \ \ \ \ \ \ \ hh:mm"/>
    <numFmt numFmtId="167" formatCode=";;;"/>
    <numFmt numFmtId="168" formatCode="#,##0.000000"/>
    <numFmt numFmtId="169" formatCode="ddd\,\ dd/mm/yyyy\ "/>
    <numFmt numFmtId="170" formatCode="h:mm;@"/>
    <numFmt numFmtId="171" formatCode="#,##0.000"/>
    <numFmt numFmtId="172" formatCode="0.0"/>
    <numFmt numFmtId="173" formatCode="0;\-0;;@"/>
  </numFmts>
  <fonts count="101"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0"/>
      <color theme="5" tint="-0.249977111117893"/>
      <name val="Calibri"/>
      <family val="2"/>
      <scheme val="minor"/>
    </font>
    <font>
      <b/>
      <sz val="18"/>
      <color theme="8"/>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2"/>
      <color rgb="FF8C1737"/>
      <name val="Calibri"/>
      <family val="2"/>
      <scheme val="minor"/>
    </font>
    <font>
      <b/>
      <sz val="16"/>
      <color rgb="FF8C1737"/>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sz val="11"/>
      <name val="Calibri"/>
      <family val="2"/>
      <scheme val="minor"/>
    </font>
    <font>
      <sz val="8"/>
      <color rgb="FF928E8E"/>
      <name val="Calibri"/>
      <family val="2"/>
      <scheme val="minor"/>
    </font>
    <font>
      <sz val="11"/>
      <color theme="0" tint="-0.34998626667073579"/>
      <name val="Calibri"/>
      <family val="2"/>
      <scheme val="minor"/>
    </font>
    <font>
      <sz val="7"/>
      <color theme="1"/>
      <name val="Calibri"/>
      <family val="2"/>
      <scheme val="minor"/>
    </font>
    <font>
      <b/>
      <sz val="11"/>
      <name val="Calibri"/>
      <family val="2"/>
      <scheme val="minor"/>
    </font>
    <font>
      <sz val="11"/>
      <color theme="4"/>
      <name val="Calibri"/>
      <family val="2"/>
      <scheme val="minor"/>
    </font>
    <font>
      <b/>
      <sz val="16"/>
      <color rgb="FF3079C2"/>
      <name val="Arial"/>
      <family val="2"/>
    </font>
    <font>
      <sz val="24"/>
      <color rgb="FF3079C2"/>
      <name val="Arial Black"/>
      <family val="2"/>
    </font>
    <font>
      <sz val="11"/>
      <color rgb="FFB72343"/>
      <name val="Calibri"/>
      <family val="2"/>
      <scheme val="minor"/>
    </font>
    <font>
      <b/>
      <sz val="20"/>
      <color rgb="FFB72343"/>
      <name val="Calibri"/>
      <family val="2"/>
      <scheme val="minor"/>
    </font>
    <font>
      <sz val="11"/>
      <color rgb="FF3079C2"/>
      <name val="Calibri"/>
      <family val="2"/>
      <scheme val="minor"/>
    </font>
    <font>
      <b/>
      <sz val="22"/>
      <color rgb="FF3079C2"/>
      <name val="Calibri"/>
      <family val="2"/>
      <scheme val="minor"/>
    </font>
    <font>
      <b/>
      <sz val="16"/>
      <color rgb="FFB72343"/>
      <name val="Calibri"/>
      <family val="2"/>
      <scheme val="minor"/>
    </font>
    <font>
      <b/>
      <sz val="22"/>
      <color rgb="FFB72343"/>
      <name val="Calibri"/>
      <family val="2"/>
      <scheme val="minor"/>
    </font>
    <font>
      <b/>
      <sz val="22"/>
      <color rgb="FF188250"/>
      <name val="Calibri"/>
      <family val="2"/>
      <scheme val="minor"/>
    </font>
    <font>
      <b/>
      <sz val="36"/>
      <color rgb="FF3079C2"/>
      <name val="Arial"/>
      <family val="2"/>
    </font>
    <font>
      <b/>
      <sz val="22"/>
      <color rgb="FFDE500A"/>
      <name val="Calibri"/>
      <family val="2"/>
      <scheme val="minor"/>
    </font>
    <font>
      <b/>
      <sz val="12"/>
      <color theme="1" tint="0.34998626667073579"/>
      <name val="Times New Roman"/>
      <family val="1"/>
    </font>
    <font>
      <b/>
      <sz val="12"/>
      <color theme="1" tint="0.34998626667073579"/>
      <name val="Calibri"/>
      <family val="2"/>
      <scheme val="minor"/>
    </font>
    <font>
      <sz val="12"/>
      <color theme="1" tint="0.34998626667073579"/>
      <name val="Calibri"/>
      <family val="2"/>
      <scheme val="minor"/>
    </font>
    <font>
      <sz val="12"/>
      <color theme="1"/>
      <name val="Consolas"/>
      <family val="3"/>
    </font>
    <font>
      <sz val="11"/>
      <color theme="1"/>
      <name val="Consolas"/>
      <family val="3"/>
    </font>
    <font>
      <b/>
      <sz val="11"/>
      <color rgb="FF800000"/>
      <name val="Calibri"/>
      <family val="2"/>
      <scheme val="minor"/>
    </font>
    <font>
      <b/>
      <sz val="12"/>
      <color rgb="FFDE500A"/>
      <name val="Calibri"/>
      <family val="2"/>
      <scheme val="minor"/>
    </font>
    <font>
      <sz val="10"/>
      <name val="Calibri"/>
      <family val="2"/>
      <scheme val="minor"/>
    </font>
    <font>
      <b/>
      <sz val="10"/>
      <color theme="2" tint="-0.749992370372631"/>
      <name val="Calibri"/>
      <family val="2"/>
      <scheme val="minor"/>
    </font>
    <font>
      <b/>
      <sz val="22"/>
      <color rgb="FFC00000"/>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b/>
      <sz val="11"/>
      <color rgb="FFC00000"/>
      <name val="Calibri"/>
      <family val="2"/>
      <scheme val="minor"/>
    </font>
    <font>
      <sz val="10"/>
      <name val="Arial"/>
      <family val="2"/>
    </font>
    <font>
      <sz val="9"/>
      <color indexed="8"/>
      <name val="Arial"/>
      <family val="2"/>
    </font>
    <font>
      <sz val="8"/>
      <name val="Arial"/>
      <family val="2"/>
    </font>
    <font>
      <sz val="8"/>
      <color rgb="FF0097CC"/>
      <name val="Arial"/>
      <family val="2"/>
    </font>
    <font>
      <sz val="8"/>
      <color rgb="FFC00000"/>
      <name val="Arial"/>
      <family val="2"/>
    </font>
    <font>
      <sz val="9"/>
      <color rgb="FF0097CC"/>
      <name val="Arial"/>
      <family val="2"/>
    </font>
    <font>
      <b/>
      <sz val="8"/>
      <color indexed="8"/>
      <name val="Arial"/>
      <family val="2"/>
    </font>
    <font>
      <b/>
      <sz val="9"/>
      <color indexed="8"/>
      <name val="Arial"/>
      <family val="2"/>
    </font>
    <font>
      <b/>
      <sz val="11"/>
      <color rgb="FFFA7D00"/>
      <name val="Calibri"/>
      <family val="2"/>
      <scheme val="minor"/>
    </font>
    <font>
      <b/>
      <sz val="8"/>
      <color rgb="FFFA7D00"/>
      <name val="Arial"/>
      <family val="2"/>
    </font>
    <font>
      <b/>
      <sz val="8"/>
      <color rgb="FFC00000"/>
      <name val="Arial"/>
      <family val="2"/>
    </font>
    <font>
      <b/>
      <sz val="9"/>
      <color rgb="FFC00000"/>
      <name val="Arial"/>
      <family val="2"/>
    </font>
    <font>
      <sz val="9"/>
      <name val="Arial"/>
      <family val="2"/>
    </font>
    <font>
      <sz val="8"/>
      <color indexed="8"/>
      <name val="Arial"/>
      <family val="2"/>
    </font>
    <font>
      <sz val="8"/>
      <color theme="5"/>
      <name val="Arial"/>
      <family val="2"/>
    </font>
    <font>
      <b/>
      <sz val="14"/>
      <color rgb="FF0070C0"/>
      <name val="Arial"/>
      <family val="2"/>
    </font>
    <font>
      <sz val="8"/>
      <color rgb="FF0070C0"/>
      <name val="Arial"/>
      <family val="2"/>
    </font>
    <font>
      <sz val="10"/>
      <color theme="9" tint="0.39997558519241921"/>
      <name val="Calibri"/>
      <family val="2"/>
      <scheme val="minor"/>
    </font>
    <font>
      <sz val="9"/>
      <color rgb="FFE04500"/>
      <name val="Arial"/>
      <family val="2"/>
    </font>
  </fonts>
  <fills count="3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FFF5F8"/>
        <bgColor indexed="64"/>
      </patternFill>
    </fill>
    <fill>
      <patternFill patternType="solid">
        <fgColor rgb="FFECECEC"/>
        <bgColor indexed="64"/>
      </patternFill>
    </fill>
    <fill>
      <patternFill patternType="solid">
        <fgColor rgb="FFFEF6E8"/>
        <bgColor indexed="64"/>
      </patternFill>
    </fill>
    <fill>
      <patternFill patternType="solid">
        <fgColor rgb="FFB72343"/>
        <bgColor indexed="64"/>
      </patternFill>
    </fill>
    <fill>
      <patternFill patternType="solid">
        <fgColor rgb="FF188250"/>
        <bgColor indexed="64"/>
      </patternFill>
    </fill>
    <fill>
      <patternFill patternType="solid">
        <fgColor rgb="FFEEFCF5"/>
        <bgColor indexed="64"/>
      </patternFill>
    </fill>
    <fill>
      <patternFill patternType="solid">
        <fgColor rgb="FF3079C2"/>
        <bgColor indexed="64"/>
      </patternFill>
    </fill>
    <fill>
      <patternFill patternType="solid">
        <fgColor rgb="FFFDEFE7"/>
        <bgColor indexed="64"/>
      </patternFill>
    </fill>
    <fill>
      <patternFill patternType="solid">
        <fgColor theme="0"/>
        <bgColor indexed="64"/>
      </patternFill>
    </fill>
    <fill>
      <patternFill patternType="solid">
        <fgColor rgb="FF0D98C9"/>
        <bgColor indexed="64"/>
      </patternFill>
    </fill>
    <fill>
      <patternFill patternType="solid">
        <fgColor rgb="FFF0FDCE"/>
        <bgColor indexed="64"/>
      </patternFill>
    </fill>
    <fill>
      <patternFill patternType="solid">
        <fgColor rgb="FFFFEEDB"/>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2F2F2"/>
      </patternFill>
    </fill>
    <fill>
      <patternFill patternType="solid">
        <fgColor rgb="FFD4F3AF"/>
        <bgColor indexed="64"/>
      </patternFill>
    </fill>
    <fill>
      <patternFill patternType="solid">
        <fgColor theme="2"/>
        <bgColor indexed="64"/>
      </patternFill>
    </fill>
    <fill>
      <patternFill patternType="solid">
        <fgColor theme="0" tint="-0.249977111117893"/>
        <bgColor indexed="64"/>
      </patternFill>
    </fill>
  </fills>
  <borders count="289">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7"/>
      </left>
      <right style="thin">
        <color theme="7"/>
      </right>
      <top style="thin">
        <color theme="7"/>
      </top>
      <bottom style="thin">
        <color theme="7"/>
      </bottom>
      <diagonal/>
    </border>
    <border>
      <left/>
      <right/>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n">
        <color indexed="64"/>
      </left>
      <right/>
      <top/>
      <bottom/>
      <diagonal/>
    </border>
    <border>
      <left style="thick">
        <color theme="4"/>
      </left>
      <right style="thick">
        <color theme="4"/>
      </right>
      <top style="thin">
        <color theme="0" tint="-0.14996795556505021"/>
      </top>
      <bottom/>
      <diagonal/>
    </border>
    <border>
      <left style="medium">
        <color rgb="FF3079C2"/>
      </left>
      <right style="medium">
        <color rgb="FF3079C2"/>
      </right>
      <top style="medium">
        <color rgb="FF3079C2"/>
      </top>
      <bottom style="medium">
        <color rgb="FF3079C2"/>
      </bottom>
      <diagonal/>
    </border>
    <border>
      <left/>
      <right/>
      <top style="thin">
        <color theme="0" tint="-0.1499679555650502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right/>
      <top/>
      <bottom style="thin">
        <color theme="0" tint="-0.14996795556505021"/>
      </bottom>
      <diagonal/>
    </border>
    <border>
      <left style="thick">
        <color theme="4" tint="-0.24994659260841701"/>
      </left>
      <right style="medium">
        <color theme="2" tint="-0.24994659260841701"/>
      </right>
      <top style="thick">
        <color theme="4" tint="-0.24994659260841701"/>
      </top>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thick">
        <color theme="4" tint="-0.24994659260841701"/>
      </left>
      <right style="medium">
        <color theme="2" tint="-0.24994659260841701"/>
      </right>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style="thick">
        <color theme="4" tint="-0.24994659260841701"/>
      </left>
      <right style="medium">
        <color theme="2" tint="-0.24994659260841701"/>
      </right>
      <top/>
      <bottom style="thick">
        <color theme="4" tint="-0.24994659260841701"/>
      </bottom>
      <diagonal/>
    </border>
    <border>
      <left style="medium">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bottom style="thick">
        <color theme="4" tint="-0.2499465926084170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n">
        <color theme="2" tint="-0.24994659260841701"/>
      </left>
      <right style="thin">
        <color theme="2" tint="-0.24994659260841701"/>
      </right>
      <top style="medium">
        <color theme="4" tint="-0.24994659260841701"/>
      </top>
      <bottom style="thin">
        <color theme="2" tint="-9.9948118533890809E-2"/>
      </bottom>
      <diagonal/>
    </border>
    <border>
      <left style="thin">
        <color theme="2" tint="-0.24994659260841701"/>
      </left>
      <right style="thick">
        <color theme="4" tint="-0.24994659260841701"/>
      </right>
      <top style="medium">
        <color theme="4" tint="-0.24994659260841701"/>
      </top>
      <bottom style="thin">
        <color theme="2" tint="-9.9948118533890809E-2"/>
      </bottom>
      <diagonal/>
    </border>
    <border>
      <left style="thin">
        <color theme="2" tint="-0.24994659260841701"/>
      </left>
      <right style="thin">
        <color theme="2" tint="-0.24994659260841701"/>
      </right>
      <top style="thin">
        <color theme="2" tint="-9.9948118533890809E-2"/>
      </top>
      <bottom style="thin">
        <color theme="2" tint="-9.9948118533890809E-2"/>
      </bottom>
      <diagonal/>
    </border>
    <border>
      <left style="thin">
        <color theme="2" tint="-0.24994659260841701"/>
      </left>
      <right style="thick">
        <color theme="4" tint="-0.24994659260841701"/>
      </right>
      <top style="thin">
        <color theme="2" tint="-9.9948118533890809E-2"/>
      </top>
      <bottom style="thin">
        <color theme="2" tint="-9.9948118533890809E-2"/>
      </bottom>
      <diagonal/>
    </border>
    <border>
      <left/>
      <right/>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top style="thick">
        <color theme="7"/>
      </top>
      <bottom style="thin">
        <color theme="2" tint="-0.24994659260841701"/>
      </bottom>
      <diagonal/>
    </border>
    <border>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n">
        <color theme="2" tint="-0.24994659260841701"/>
      </top>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7"/>
      </right>
      <top style="thin">
        <color theme="2" tint="-0.24994659260841701"/>
      </top>
      <bottom/>
      <diagonal/>
    </border>
    <border>
      <left/>
      <right/>
      <top style="thin">
        <color theme="2" tint="-0.24994659260841701"/>
      </top>
      <bottom/>
      <diagonal/>
    </border>
    <border>
      <left/>
      <right style="thick">
        <color theme="7"/>
      </right>
      <top style="thin">
        <color theme="2" tint="-0.24994659260841701"/>
      </top>
      <bottom/>
      <diagonal/>
    </border>
    <border>
      <left style="thick">
        <color theme="7"/>
      </left>
      <right style="thin">
        <color theme="2" tint="-0.24994659260841701"/>
      </right>
      <top style="thick">
        <color theme="7"/>
      </top>
      <bottom/>
      <diagonal/>
    </border>
    <border>
      <left style="thick">
        <color theme="7"/>
      </left>
      <right style="thin">
        <color theme="2" tint="-0.24994659260841701"/>
      </right>
      <top/>
      <bottom/>
      <diagonal/>
    </border>
    <border>
      <left/>
      <right/>
      <top style="thin">
        <color indexed="64"/>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1" tint="0.499984740745262"/>
      </bottom>
      <diagonal/>
    </border>
    <border>
      <left style="thin">
        <color theme="2" tint="-0.499984740745262"/>
      </left>
      <right/>
      <top style="thin">
        <color theme="2" tint="-0.499984740745262"/>
      </top>
      <bottom style="medium">
        <color theme="2" tint="-0.499984740745262"/>
      </bottom>
      <diagonal/>
    </border>
    <border>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1" tint="0.499984740745262"/>
      </top>
      <bottom style="medium">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medium">
        <color theme="4"/>
      </left>
      <right style="medium">
        <color theme="4"/>
      </right>
      <top style="medium">
        <color theme="4"/>
      </top>
      <bottom style="thin">
        <color theme="4"/>
      </bottom>
      <diagonal/>
    </border>
    <border>
      <left style="medium">
        <color theme="4"/>
      </left>
      <right style="medium">
        <color theme="4"/>
      </right>
      <top style="thin">
        <color theme="4"/>
      </top>
      <bottom style="thin">
        <color theme="4"/>
      </bottom>
      <diagonal/>
    </border>
    <border>
      <left style="medium">
        <color theme="4"/>
      </left>
      <right style="medium">
        <color theme="4"/>
      </right>
      <top style="thin">
        <color theme="4"/>
      </top>
      <bottom style="medium">
        <color theme="4"/>
      </bottom>
      <diagonal/>
    </border>
    <border>
      <left style="thick">
        <color theme="4"/>
      </left>
      <right style="thin">
        <color theme="2" tint="-0.499984740745262"/>
      </right>
      <top style="thin">
        <color theme="2" tint="-0.499984740745262"/>
      </top>
      <bottom style="thin">
        <color theme="2" tint="-9.9948118533890809E-2"/>
      </bottom>
      <diagonal/>
    </border>
    <border>
      <left style="thick">
        <color theme="4"/>
      </left>
      <right style="thin">
        <color theme="2" tint="-0.499984740745262"/>
      </right>
      <top style="thin">
        <color theme="2" tint="-9.9948118533890809E-2"/>
      </top>
      <bottom style="thin">
        <color theme="2" tint="-9.9948118533890809E-2"/>
      </bottom>
      <diagonal/>
    </border>
    <border>
      <left style="thick">
        <color theme="4"/>
      </left>
      <right style="thin">
        <color theme="2" tint="-0.499984740745262"/>
      </right>
      <top style="thin">
        <color theme="2" tint="-9.9948118533890809E-2"/>
      </top>
      <bottom style="thin">
        <color theme="2" tint="-0.499984740745262"/>
      </bottom>
      <diagonal/>
    </border>
    <border>
      <left style="medium">
        <color theme="0" tint="-0.24994659260841701"/>
      </left>
      <right style="thin">
        <color rgb="FFD4D4D4"/>
      </right>
      <top style="medium">
        <color theme="0" tint="-0.24994659260841701"/>
      </top>
      <bottom style="thin">
        <color rgb="FFD4D4D4"/>
      </bottom>
      <diagonal/>
    </border>
    <border>
      <left style="thin">
        <color rgb="FFD4D4D4"/>
      </left>
      <right style="medium">
        <color theme="0" tint="-0.24994659260841701"/>
      </right>
      <top style="medium">
        <color theme="0" tint="-0.24994659260841701"/>
      </top>
      <bottom style="thin">
        <color rgb="FFD4D4D4"/>
      </bottom>
      <diagonal/>
    </border>
    <border>
      <left style="medium">
        <color theme="0" tint="-0.24994659260841701"/>
      </left>
      <right style="thin">
        <color rgb="FFD4D4D4"/>
      </right>
      <top style="thin">
        <color rgb="FFD4D4D4"/>
      </top>
      <bottom style="thin">
        <color rgb="FFD4D4D4"/>
      </bottom>
      <diagonal/>
    </border>
    <border>
      <left style="thin">
        <color rgb="FFD4D4D4"/>
      </left>
      <right style="medium">
        <color theme="0" tint="-0.24994659260841701"/>
      </right>
      <top style="thin">
        <color rgb="FFD4D4D4"/>
      </top>
      <bottom style="thin">
        <color rgb="FFD4D4D4"/>
      </bottom>
      <diagonal/>
    </border>
    <border>
      <left style="medium">
        <color theme="0" tint="-0.24994659260841701"/>
      </left>
      <right style="thin">
        <color rgb="FFD4D4D4"/>
      </right>
      <top style="thin">
        <color rgb="FFD4D4D4"/>
      </top>
      <bottom style="medium">
        <color theme="0" tint="-0.24994659260841701"/>
      </bottom>
      <diagonal/>
    </border>
    <border>
      <left style="thin">
        <color rgb="FFD4D4D4"/>
      </left>
      <right style="medium">
        <color theme="0" tint="-0.24994659260841701"/>
      </right>
      <top style="thin">
        <color rgb="FFD4D4D4"/>
      </top>
      <bottom style="medium">
        <color theme="0" tint="-0.24994659260841701"/>
      </bottom>
      <diagonal/>
    </border>
    <border>
      <left style="thick">
        <color theme="0" tint="-0.14990691854609822"/>
      </left>
      <right style="thin">
        <color rgb="FFD4D4D4"/>
      </right>
      <top style="medium">
        <color theme="0" tint="-0.24994659260841701"/>
      </top>
      <bottom style="thin">
        <color rgb="FFD4D4D4"/>
      </bottom>
      <diagonal/>
    </border>
    <border>
      <left style="thin">
        <color rgb="FFD4D4D4"/>
      </left>
      <right style="thin">
        <color rgb="FFD4D4D4"/>
      </right>
      <top style="medium">
        <color theme="0" tint="-0.24994659260841701"/>
      </top>
      <bottom style="thin">
        <color rgb="FFD4D4D4"/>
      </bottom>
      <diagonal/>
    </border>
    <border>
      <left style="thick">
        <color theme="0" tint="-0.14990691854609822"/>
      </left>
      <right style="thin">
        <color rgb="FFD4D4D4"/>
      </right>
      <top style="thin">
        <color rgb="FFD4D4D4"/>
      </top>
      <bottom style="thin">
        <color rgb="FFD4D4D4"/>
      </bottom>
      <diagonal/>
    </border>
    <border>
      <left style="thin">
        <color rgb="FFD4D4D4"/>
      </left>
      <right style="thin">
        <color rgb="FFD4D4D4"/>
      </right>
      <top style="thin">
        <color rgb="FFD4D4D4"/>
      </top>
      <bottom style="thin">
        <color rgb="FFD4D4D4"/>
      </bottom>
      <diagonal/>
    </border>
    <border>
      <left style="thick">
        <color theme="0" tint="-0.14990691854609822"/>
      </left>
      <right style="thin">
        <color rgb="FFD4D4D4"/>
      </right>
      <top style="thin">
        <color rgb="FFD4D4D4"/>
      </top>
      <bottom style="medium">
        <color theme="0" tint="-0.24994659260841701"/>
      </bottom>
      <diagonal/>
    </border>
    <border>
      <left style="thin">
        <color rgb="FFD4D4D4"/>
      </left>
      <right style="thin">
        <color rgb="FFD4D4D4"/>
      </right>
      <top style="thin">
        <color rgb="FFD4D4D4"/>
      </top>
      <bottom style="medium">
        <color theme="0" tint="-0.24994659260841701"/>
      </bottom>
      <diagonal/>
    </border>
    <border>
      <left style="thin">
        <color theme="0" tint="-0.14996795556505021"/>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3743705557422"/>
      </right>
      <top style="thick">
        <color theme="0" tint="-0.24994659260841701"/>
      </top>
      <bottom style="medium">
        <color theme="0" tint="-0.14996795556505021"/>
      </bottom>
      <diagonal/>
    </border>
    <border>
      <left style="thin">
        <color theme="0" tint="-0.14993743705557422"/>
      </left>
      <right style="thin">
        <color theme="0" tint="-0.14996795556505021"/>
      </right>
      <top style="thick">
        <color theme="0" tint="-0.24994659260841701"/>
      </top>
      <bottom style="medium">
        <color theme="0" tint="-0.14996795556505021"/>
      </bottom>
      <diagonal/>
    </border>
    <border>
      <left/>
      <right style="thick">
        <color theme="0" tint="-0.24994659260841701"/>
      </right>
      <top style="thin">
        <color theme="0" tint="-0.14996795556505021"/>
      </top>
      <bottom/>
      <diagonal/>
    </border>
    <border>
      <left/>
      <right/>
      <top style="thin">
        <color theme="0" tint="-0.14993743705557422"/>
      </top>
      <bottom style="thin">
        <color theme="0" tint="-0.14993743705557422"/>
      </bottom>
      <diagonal/>
    </border>
    <border>
      <left/>
      <right style="thick">
        <color theme="0" tint="-0.24994659260841701"/>
      </right>
      <top style="thin">
        <color theme="0" tint="-0.14993743705557422"/>
      </top>
      <bottom style="thin">
        <color theme="0" tint="-0.14993743705557422"/>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style="thin">
        <color rgb="FF7F7F7F"/>
      </right>
      <top/>
      <bottom style="thin">
        <color auto="1"/>
      </bottom>
      <diagonal/>
    </border>
    <border>
      <left style="thick">
        <color rgb="FF9ACA02"/>
      </left>
      <right style="thick">
        <color rgb="FF9ACA02"/>
      </right>
      <top style="thick">
        <color rgb="FF9ACA02"/>
      </top>
      <bottom/>
      <diagonal/>
    </border>
    <border>
      <left style="thin">
        <color indexed="64"/>
      </left>
      <right style="thin">
        <color indexed="64"/>
      </right>
      <top style="thin">
        <color indexed="64"/>
      </top>
      <bottom/>
      <diagonal/>
    </border>
    <border>
      <left style="thin">
        <color theme="2" tint="-0.24994659260841701"/>
      </left>
      <right style="thin">
        <color theme="2" tint="-0.24994659260841701"/>
      </right>
      <top style="medium">
        <color theme="2" tint="-0.499984740745262"/>
      </top>
      <bottom/>
      <diagonal/>
    </border>
    <border>
      <left/>
      <right style="thin">
        <color theme="2" tint="-0.24994659260841701"/>
      </right>
      <top style="medium">
        <color theme="2" tint="-0.499984740745262"/>
      </top>
      <bottom/>
      <diagonal/>
    </border>
    <border>
      <left style="thick">
        <color rgb="FF9ACA02"/>
      </left>
      <right style="thick">
        <color rgb="FF9ACA02"/>
      </right>
      <top/>
      <bottom/>
      <diagonal/>
    </border>
    <border>
      <left style="thin">
        <color indexed="64"/>
      </left>
      <right style="thin">
        <color indexed="64"/>
      </right>
      <top/>
      <bottom/>
      <diagonal/>
    </border>
    <border>
      <left style="thick">
        <color rgb="FF9ACA02"/>
      </left>
      <right style="thick">
        <color rgb="FF9ACA02"/>
      </right>
      <top/>
      <bottom style="thick">
        <color rgb="FF9ACA0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0.24994659260841701"/>
      </left>
      <right/>
      <top style="medium">
        <color theme="2" tint="-0.499984740745262"/>
      </top>
      <bottom/>
      <diagonal/>
    </border>
    <border>
      <left/>
      <right/>
      <top style="medium">
        <color theme="2" tint="-0.499984740745262"/>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ck">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thick">
        <color theme="2" tint="-0.499984740745262"/>
      </left>
      <right/>
      <top style="thick">
        <color theme="2" tint="-0.499984740745262"/>
      </top>
      <bottom/>
      <diagonal/>
    </border>
    <border>
      <left/>
      <right/>
      <top style="thick">
        <color theme="2" tint="-0.499984740745262"/>
      </top>
      <bottom/>
      <diagonal/>
    </border>
    <border>
      <left style="medium">
        <color theme="2" tint="-0.499984740745262"/>
      </left>
      <right style="medium">
        <color theme="2" tint="-0.499984740745262"/>
      </right>
      <top style="thick">
        <color theme="2" tint="-0.499984740745262"/>
      </top>
      <bottom/>
      <diagonal/>
    </border>
    <border>
      <left style="medium">
        <color theme="2" tint="-0.499984740745262"/>
      </left>
      <right/>
      <top style="thick">
        <color theme="2" tint="-0.499984740745262"/>
      </top>
      <bottom/>
      <diagonal/>
    </border>
    <border>
      <left/>
      <right style="thick">
        <color theme="2" tint="-0.499984740745262"/>
      </right>
      <top style="thick">
        <color theme="2" tint="-0.499984740745262"/>
      </top>
      <bottom/>
      <diagonal/>
    </border>
    <border>
      <left style="thick">
        <color theme="0" tint="-0.499984740745262"/>
      </left>
      <right style="thick">
        <color theme="0" tint="-0.499984740745262"/>
      </right>
      <top/>
      <bottom/>
      <diagonal/>
    </border>
    <border>
      <left style="thick">
        <color theme="0" tint="-0.499984740745262"/>
      </left>
      <right/>
      <top/>
      <bottom/>
      <diagonal/>
    </border>
    <border>
      <left style="thick">
        <color theme="2" tint="-0.499984740745262"/>
      </left>
      <right/>
      <top/>
      <bottom/>
      <diagonal/>
    </border>
    <border>
      <left style="medium">
        <color theme="2" tint="-0.499984740745262"/>
      </left>
      <right style="medium">
        <color theme="2" tint="-0.499984740745262"/>
      </right>
      <top/>
      <bottom/>
      <diagonal/>
    </border>
    <border>
      <left style="medium">
        <color theme="2" tint="-0.499984740745262"/>
      </left>
      <right/>
      <top/>
      <bottom/>
      <diagonal/>
    </border>
    <border>
      <left/>
      <right style="thick">
        <color theme="2" tint="-0.499984740745262"/>
      </right>
      <top/>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ck">
        <color theme="2" tint="-0.499984740745262"/>
      </left>
      <right/>
      <top/>
      <bottom style="thick">
        <color theme="0" tint="-0.499984740745262"/>
      </bottom>
      <diagonal/>
    </border>
    <border>
      <left style="medium">
        <color theme="2" tint="-0.499984740745262"/>
      </left>
      <right style="medium">
        <color theme="2" tint="-0.499984740745262"/>
      </right>
      <top/>
      <bottom style="thick">
        <color theme="0" tint="-0.499984740745262"/>
      </bottom>
      <diagonal/>
    </border>
    <border>
      <left style="medium">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right style="thick">
        <color theme="2" tint="-0.499984740745262"/>
      </right>
      <top style="thick">
        <color theme="0" tint="-0.499984740745262"/>
      </top>
      <bottom/>
      <diagonal/>
    </border>
    <border>
      <left style="thick">
        <color theme="0" tint="-0.499984740745262"/>
      </left>
      <right style="thin">
        <color theme="2" tint="-9.9948118533890809E-2"/>
      </right>
      <top style="thick">
        <color theme="0" tint="-0.499984740745262"/>
      </top>
      <bottom style="thin">
        <color theme="2" tint="-9.9948118533890809E-2"/>
      </bottom>
      <diagonal/>
    </border>
    <border>
      <left style="thin">
        <color theme="2" tint="-9.9948118533890809E-2"/>
      </left>
      <right style="thin">
        <color theme="2" tint="-9.9948118533890809E-2"/>
      </right>
      <top style="thick">
        <color theme="0" tint="-0.499984740745262"/>
      </top>
      <bottom style="thin">
        <color theme="2" tint="-9.9948118533890809E-2"/>
      </bottom>
      <diagonal/>
    </border>
    <border>
      <left style="thin">
        <color theme="2" tint="-9.9948118533890809E-2"/>
      </left>
      <right style="thick">
        <color theme="0" tint="-0.499984740745262"/>
      </right>
      <top style="thick">
        <color theme="0" tint="-0.499984740745262"/>
      </top>
      <bottom style="thin">
        <color theme="2" tint="-9.9948118533890809E-2"/>
      </bottom>
      <diagonal/>
    </border>
    <border>
      <left style="thick">
        <color theme="0"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0" tint="-0.499984740745262"/>
      </right>
      <top style="thin">
        <color theme="2" tint="-9.9948118533890809E-2"/>
      </top>
      <bottom style="thin">
        <color theme="2" tint="-9.9948118533890809E-2"/>
      </bottom>
      <diagonal/>
    </border>
    <border>
      <left style="thick">
        <color theme="0" tint="-0.499984740745262"/>
      </left>
      <right style="thin">
        <color theme="2" tint="-9.9948118533890809E-2"/>
      </right>
      <top style="thin">
        <color theme="2" tint="-9.9948118533890809E-2"/>
      </top>
      <bottom style="thick">
        <color theme="0" tint="-0.499984740745262"/>
      </bottom>
      <diagonal/>
    </border>
    <border>
      <left style="thin">
        <color theme="2" tint="-9.9948118533890809E-2"/>
      </left>
      <right style="thin">
        <color theme="2" tint="-9.9948118533890809E-2"/>
      </right>
      <top style="thin">
        <color theme="2" tint="-9.9948118533890809E-2"/>
      </top>
      <bottom style="thick">
        <color theme="0" tint="-0.499984740745262"/>
      </bottom>
      <diagonal/>
    </border>
    <border>
      <left style="thin">
        <color theme="2" tint="-9.9948118533890809E-2"/>
      </left>
      <right style="thick">
        <color theme="0" tint="-0.499984740745262"/>
      </right>
      <top style="thin">
        <color theme="2" tint="-9.9948118533890809E-2"/>
      </top>
      <bottom style="thick">
        <color theme="0" tint="-0.499984740745262"/>
      </bottom>
      <diagonal/>
    </border>
    <border>
      <left style="thin">
        <color theme="2" tint="-0.499984740745262"/>
      </left>
      <right style="thick">
        <color rgb="FF9ACA02"/>
      </right>
      <top style="thin">
        <color theme="2" tint="-0.499984740745262"/>
      </top>
      <bottom style="thin">
        <color theme="2" tint="-9.9948118533890809E-2"/>
      </bottom>
      <diagonal/>
    </border>
    <border>
      <left style="thin">
        <color theme="2" tint="-0.499984740745262"/>
      </left>
      <right style="thick">
        <color rgb="FF9ACA02"/>
      </right>
      <top style="thin">
        <color theme="2" tint="-9.9948118533890809E-2"/>
      </top>
      <bottom style="thin">
        <color theme="2" tint="-9.9948118533890809E-2"/>
      </bottom>
      <diagonal/>
    </border>
    <border>
      <left style="thin">
        <color theme="2" tint="-0.499984740745262"/>
      </left>
      <right style="thick">
        <color rgb="FF9ACA02"/>
      </right>
      <top style="thin">
        <color theme="2" tint="-9.9948118533890809E-2"/>
      </top>
      <bottom style="thin">
        <color theme="2" tint="-0.24994659260841701"/>
      </bottom>
      <diagonal/>
    </border>
    <border>
      <left style="medium">
        <color rgb="FFE00000"/>
      </left>
      <right style="medium">
        <color rgb="FFE00000"/>
      </right>
      <top style="medium">
        <color rgb="FFE00000"/>
      </top>
      <bottom style="medium">
        <color rgb="FFE00000"/>
      </bottom>
      <diagonal/>
    </border>
    <border>
      <left style="thin">
        <color indexed="64"/>
      </left>
      <right style="dotted">
        <color indexed="64"/>
      </right>
      <top style="thin">
        <color indexed="64"/>
      </top>
      <bottom style="dotted">
        <color indexed="64"/>
      </bottom>
      <diagonal/>
    </border>
    <border>
      <left style="thin">
        <color rgb="FF7F7F7F"/>
      </left>
      <right style="thin">
        <color theme="2" tint="-0.499984740745262"/>
      </right>
      <top style="thin">
        <color rgb="FF7F7F7F"/>
      </top>
      <bottom style="thin">
        <color indexed="64"/>
      </bottom>
      <diagonal/>
    </border>
    <border>
      <left style="thin">
        <color theme="2" tint="-0.499984740745262"/>
      </left>
      <right/>
      <top/>
      <bottom/>
      <diagonal/>
    </border>
  </borders>
  <cellStyleXfs count="4">
    <xf numFmtId="0" fontId="0" fillId="0" borderId="0"/>
    <xf numFmtId="0" fontId="32" fillId="0" borderId="0" applyNumberFormat="0" applyFill="0" applyBorder="0" applyAlignment="0" applyProtection="0"/>
    <xf numFmtId="0" fontId="82" fillId="0" borderId="0"/>
    <xf numFmtId="0" fontId="90" fillId="30" borderId="228" applyNumberFormat="0" applyAlignment="0" applyProtection="0"/>
  </cellStyleXfs>
  <cellXfs count="78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4" fillId="0" borderId="0" xfId="0" applyFont="1"/>
    <xf numFmtId="0" fontId="0" fillId="0" borderId="21" xfId="0" applyBorder="1"/>
    <xf numFmtId="0" fontId="0" fillId="0" borderId="21" xfId="0" applyBorder="1" applyAlignment="1">
      <alignment horizontal="center"/>
    </xf>
    <xf numFmtId="0" fontId="0" fillId="0" borderId="0" xfId="0" applyFill="1" applyBorder="1" applyAlignment="1">
      <alignment horizontal="center"/>
    </xf>
    <xf numFmtId="0" fontId="24" fillId="0" borderId="0" xfId="0" applyFont="1" applyAlignment="1">
      <alignment horizontal="center"/>
    </xf>
    <xf numFmtId="0" fontId="0" fillId="8" borderId="20"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1" borderId="5" xfId="0" applyFont="1" applyFill="1" applyBorder="1" applyAlignment="1" applyProtection="1">
      <alignment horizontal="center" vertical="center"/>
    </xf>
    <xf numFmtId="0" fontId="8" fillId="11" borderId="6" xfId="0" applyFont="1"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16" fillId="0" borderId="0" xfId="0" applyFont="1" applyFill="1" applyBorder="1" applyAlignment="1" applyProtection="1">
      <alignment horizontal="center"/>
    </xf>
    <xf numFmtId="0" fontId="34" fillId="0" borderId="0" xfId="0" applyFont="1" applyFill="1" applyBorder="1"/>
    <xf numFmtId="0" fontId="0" fillId="0" borderId="0" xfId="0" applyFill="1" applyBorder="1" applyAlignment="1">
      <alignment horizontal="left" indent="1"/>
    </xf>
    <xf numFmtId="0" fontId="0" fillId="0" borderId="40" xfId="0" applyFill="1" applyBorder="1" applyAlignment="1">
      <alignment horizontal="left" indent="1"/>
    </xf>
    <xf numFmtId="0" fontId="0" fillId="7" borderId="0" xfId="0" applyFill="1" applyBorder="1" applyAlignment="1">
      <alignment horizontal="right" indent="2"/>
    </xf>
    <xf numFmtId="0" fontId="0" fillId="7" borderId="41" xfId="0" applyFill="1" applyBorder="1" applyAlignment="1">
      <alignment horizontal="left" indent="1"/>
    </xf>
    <xf numFmtId="0" fontId="24" fillId="0" borderId="0" xfId="0" applyFont="1" applyBorder="1"/>
    <xf numFmtId="0" fontId="29" fillId="0" borderId="0" xfId="0" applyFont="1" applyBorder="1" applyAlignment="1" applyProtection="1"/>
    <xf numFmtId="0" fontId="29" fillId="0" borderId="0" xfId="0" applyFont="1" applyBorder="1" applyAlignment="1"/>
    <xf numFmtId="0" fontId="22" fillId="0" borderId="0" xfId="0" applyFont="1" applyAlignment="1">
      <alignment horizontal="center"/>
    </xf>
    <xf numFmtId="0" fontId="17" fillId="0" borderId="0" xfId="0" applyFont="1" applyFill="1" applyBorder="1" applyAlignment="1">
      <alignment vertical="center"/>
    </xf>
    <xf numFmtId="0" fontId="20" fillId="0" borderId="0" xfId="0" applyFont="1" applyBorder="1" applyAlignment="1">
      <alignment vertical="center"/>
    </xf>
    <xf numFmtId="0" fontId="27" fillId="0" borderId="0" xfId="0" applyFont="1" applyAlignment="1"/>
    <xf numFmtId="0" fontId="25" fillId="0" borderId="0" xfId="0" applyFont="1" applyAlignment="1"/>
    <xf numFmtId="0" fontId="33" fillId="0" borderId="0" xfId="0" applyFont="1" applyAlignment="1">
      <alignment horizontal="center"/>
    </xf>
    <xf numFmtId="0" fontId="35" fillId="0" borderId="0" xfId="0" applyFont="1" applyAlignment="1" applyProtection="1">
      <alignment horizontal="left" vertical="center"/>
    </xf>
    <xf numFmtId="0" fontId="12" fillId="0" borderId="0" xfId="0" applyFont="1" applyAlignment="1"/>
    <xf numFmtId="0" fontId="28" fillId="0" borderId="0" xfId="0" applyFont="1" applyAlignment="1"/>
    <xf numFmtId="0" fontId="12" fillId="0" borderId="0" xfId="0" applyFont="1" applyAlignment="1">
      <alignment vertical="top"/>
    </xf>
    <xf numFmtId="0" fontId="38" fillId="5" borderId="19" xfId="0" applyFont="1" applyFill="1" applyBorder="1" applyAlignment="1" applyProtection="1">
      <alignment horizontal="center"/>
      <protection locked="0"/>
    </xf>
    <xf numFmtId="0" fontId="38"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45" xfId="0" applyFont="1" applyFill="1" applyBorder="1"/>
    <xf numFmtId="0" fontId="39" fillId="0" borderId="0" xfId="0" applyFont="1" applyFill="1" applyBorder="1"/>
    <xf numFmtId="0" fontId="0" fillId="5" borderId="35" xfId="0" applyFill="1" applyBorder="1" applyAlignment="1" applyProtection="1">
      <alignment horizontal="left" indent="1"/>
      <protection locked="0"/>
    </xf>
    <xf numFmtId="0" fontId="0" fillId="5" borderId="37" xfId="0" applyFill="1" applyBorder="1" applyAlignment="1" applyProtection="1">
      <alignment horizontal="left" indent="1"/>
      <protection locked="0"/>
    </xf>
    <xf numFmtId="0" fontId="0" fillId="0" borderId="0" xfId="0" applyAlignment="1">
      <alignment horizontal="left" indent="1"/>
    </xf>
    <xf numFmtId="0" fontId="33" fillId="0" borderId="23" xfId="0" applyFont="1" applyFill="1" applyBorder="1" applyAlignment="1">
      <alignment horizontal="left" indent="1"/>
    </xf>
    <xf numFmtId="0" fontId="0" fillId="0" borderId="24" xfId="0" applyBorder="1" applyAlignment="1">
      <alignment horizontal="left" indent="1"/>
    </xf>
    <xf numFmtId="0" fontId="0" fillId="0" borderId="42" xfId="0" applyBorder="1" applyAlignment="1">
      <alignment horizontal="left" indent="1"/>
    </xf>
    <xf numFmtId="0" fontId="33" fillId="0" borderId="25" xfId="0" applyFont="1" applyFill="1" applyBorder="1" applyAlignment="1">
      <alignment horizontal="left" indent="1"/>
    </xf>
    <xf numFmtId="0" fontId="0" fillId="0" borderId="0" xfId="0" applyBorder="1" applyAlignment="1">
      <alignment horizontal="left" indent="1"/>
    </xf>
    <xf numFmtId="0" fontId="0" fillId="0" borderId="43" xfId="0" applyBorder="1" applyAlignment="1">
      <alignment horizontal="left" indent="1"/>
    </xf>
    <xf numFmtId="0" fontId="0" fillId="5" borderId="35" xfId="0" applyFill="1" applyBorder="1" applyAlignment="1" applyProtection="1">
      <alignment horizontal="left" vertical="center" wrapText="1" indent="1"/>
      <protection locked="0"/>
    </xf>
    <xf numFmtId="0" fontId="0" fillId="5" borderId="34"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3" fillId="0" borderId="0" xfId="0" applyFont="1" applyBorder="1" applyAlignment="1" applyProtection="1">
      <alignment horizontal="center" vertical="center"/>
    </xf>
    <xf numFmtId="0" fontId="41" fillId="0" borderId="0" xfId="0" applyFont="1" applyAlignment="1" applyProtection="1">
      <alignment horizontal="right"/>
    </xf>
    <xf numFmtId="0" fontId="42" fillId="0" borderId="0" xfId="0" applyFont="1" applyAlignment="1" applyProtection="1">
      <alignment horizontal="right"/>
    </xf>
    <xf numFmtId="0" fontId="4" fillId="7" borderId="0" xfId="0" applyFont="1" applyFill="1" applyBorder="1" applyAlignment="1">
      <alignment horizontal="center"/>
    </xf>
    <xf numFmtId="0" fontId="0" fillId="0" borderId="0" xfId="0" quotePrefix="1" applyAlignment="1">
      <alignment horizontal="center"/>
    </xf>
    <xf numFmtId="0" fontId="46" fillId="0" borderId="0" xfId="0" applyFont="1" applyProtection="1"/>
    <xf numFmtId="0" fontId="0" fillId="0" borderId="14" xfId="0" applyFill="1" applyBorder="1" applyProtection="1"/>
    <xf numFmtId="0" fontId="0" fillId="0" borderId="0" xfId="0" applyFill="1" applyAlignment="1">
      <alignment horizontal="center"/>
    </xf>
    <xf numFmtId="0" fontId="0" fillId="0" borderId="0" xfId="0" applyFill="1"/>
    <xf numFmtId="0" fontId="20" fillId="0" borderId="0" xfId="0" applyFont="1" applyAlignment="1">
      <alignment horizontal="center" vertical="center" wrapText="1"/>
    </xf>
    <xf numFmtId="0" fontId="13" fillId="14" borderId="5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0" borderId="59" xfId="0" applyFont="1" applyBorder="1" applyAlignment="1">
      <alignment horizontal="center"/>
    </xf>
    <xf numFmtId="0" fontId="22" fillId="0" borderId="60" xfId="0" applyFont="1" applyBorder="1" applyAlignment="1">
      <alignment horizontal="center" wrapText="1"/>
    </xf>
    <xf numFmtId="0" fontId="0" fillId="0" borderId="61" xfId="0" applyBorder="1"/>
    <xf numFmtId="0" fontId="0" fillId="7" borderId="62" xfId="0" applyFill="1" applyBorder="1" applyAlignment="1">
      <alignment horizontal="center" vertical="center"/>
    </xf>
    <xf numFmtId="0" fontId="0" fillId="7" borderId="64"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66" xfId="0" applyFill="1" applyBorder="1" applyAlignment="1" applyProtection="1">
      <alignment horizontal="left" vertical="center" wrapText="1" indent="1"/>
      <protection locked="0"/>
    </xf>
    <xf numFmtId="0" fontId="49" fillId="0" borderId="0" xfId="0" applyFont="1" applyProtection="1"/>
    <xf numFmtId="0" fontId="0" fillId="0" borderId="39" xfId="0" applyFill="1" applyBorder="1" applyAlignment="1">
      <alignment horizontal="left" indent="1"/>
    </xf>
    <xf numFmtId="0" fontId="0" fillId="0" borderId="63" xfId="0" applyFill="1" applyBorder="1" applyAlignment="1">
      <alignment horizontal="left" indent="1"/>
    </xf>
    <xf numFmtId="0" fontId="22" fillId="0" borderId="68" xfId="0" applyFont="1" applyBorder="1" applyAlignment="1">
      <alignment horizontal="center" wrapText="1"/>
    </xf>
    <xf numFmtId="0" fontId="26" fillId="0" borderId="0" xfId="0" applyFont="1" applyAlignment="1">
      <alignment vertical="top" wrapText="1"/>
    </xf>
    <xf numFmtId="0" fontId="48" fillId="0" borderId="0" xfId="0" applyFont="1" applyFill="1" applyAlignment="1">
      <alignment horizontal="center" vertical="center"/>
    </xf>
    <xf numFmtId="0" fontId="0" fillId="5" borderId="36" xfId="0" applyFill="1" applyBorder="1" applyAlignment="1" applyProtection="1">
      <alignment horizontal="left" vertical="top" wrapText="1" indent="1"/>
      <protection locked="0"/>
    </xf>
    <xf numFmtId="0" fontId="0" fillId="5" borderId="37"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1" fillId="4" borderId="56" xfId="0" applyFont="1" applyFill="1" applyBorder="1" applyAlignment="1" applyProtection="1">
      <alignment horizontal="center"/>
    </xf>
    <xf numFmtId="0" fontId="0" fillId="13" borderId="57" xfId="0" applyFill="1" applyBorder="1" applyAlignment="1" applyProtection="1">
      <alignment horizontal="center"/>
    </xf>
    <xf numFmtId="0" fontId="31" fillId="4" borderId="57" xfId="0" applyFont="1" applyFill="1" applyBorder="1" applyAlignment="1" applyProtection="1">
      <alignment horizontal="center"/>
    </xf>
    <xf numFmtId="0" fontId="0" fillId="13" borderId="58" xfId="0" applyFill="1" applyBorder="1" applyAlignment="1" applyProtection="1">
      <alignment horizontal="center"/>
    </xf>
    <xf numFmtId="0" fontId="0" fillId="6" borderId="29" xfId="0" applyFill="1" applyBorder="1" applyAlignment="1" applyProtection="1">
      <alignment horizontal="left" indent="1"/>
      <protection locked="0"/>
    </xf>
    <xf numFmtId="0" fontId="0" fillId="9" borderId="27" xfId="0" applyFill="1" applyBorder="1" applyAlignment="1" applyProtection="1">
      <alignment horizontal="left" indent="1"/>
      <protection locked="0"/>
    </xf>
    <xf numFmtId="0" fontId="0" fillId="2" borderId="26" xfId="0" applyFill="1" applyBorder="1" applyAlignment="1" applyProtection="1">
      <alignment horizontal="left" indent="1"/>
      <protection locked="0"/>
    </xf>
    <xf numFmtId="0" fontId="0" fillId="6" borderId="27" xfId="0" applyFill="1" applyBorder="1" applyAlignment="1" applyProtection="1">
      <alignment horizontal="left" indent="1"/>
      <protection locked="0"/>
    </xf>
    <xf numFmtId="0" fontId="0" fillId="10" borderId="27" xfId="0" applyFill="1" applyBorder="1" applyAlignment="1" applyProtection="1">
      <alignment horizontal="left" indent="1"/>
      <protection locked="0"/>
    </xf>
    <xf numFmtId="0" fontId="0" fillId="2" borderId="30" xfId="0" applyFill="1" applyBorder="1" applyAlignment="1" applyProtection="1">
      <alignment horizontal="left" indent="1"/>
      <protection locked="0"/>
    </xf>
    <xf numFmtId="0" fontId="0" fillId="6" borderId="31" xfId="0" applyFill="1" applyBorder="1" applyAlignment="1" applyProtection="1">
      <alignment horizontal="left" indent="1"/>
      <protection locked="0"/>
    </xf>
    <xf numFmtId="0" fontId="0" fillId="9" borderId="31" xfId="0" applyFill="1" applyBorder="1" applyAlignment="1" applyProtection="1">
      <alignment horizontal="left" indent="1"/>
      <protection locked="0"/>
    </xf>
    <xf numFmtId="0" fontId="0" fillId="10" borderId="31" xfId="0" applyFill="1" applyBorder="1" applyAlignment="1" applyProtection="1">
      <alignment horizontal="left" indent="1"/>
      <protection locked="0"/>
    </xf>
    <xf numFmtId="0" fontId="0" fillId="2" borderId="26" xfId="0" applyFont="1" applyFill="1" applyBorder="1" applyAlignment="1" applyProtection="1">
      <alignment horizontal="left" vertical="center" indent="1"/>
      <protection locked="0"/>
    </xf>
    <xf numFmtId="0" fontId="0" fillId="6" borderId="27" xfId="0" applyFont="1" applyFill="1" applyBorder="1" applyAlignment="1" applyProtection="1">
      <alignment horizontal="left" vertical="center" indent="1"/>
      <protection locked="0"/>
    </xf>
    <xf numFmtId="0" fontId="0" fillId="9" borderId="27" xfId="0" applyFont="1" applyFill="1" applyBorder="1" applyAlignment="1" applyProtection="1">
      <alignment horizontal="left" vertical="center" indent="1"/>
      <protection locked="0"/>
    </xf>
    <xf numFmtId="0" fontId="0" fillId="10" borderId="27" xfId="0" applyFont="1" applyFill="1" applyBorder="1" applyAlignment="1" applyProtection="1">
      <alignment horizontal="left" vertical="center" indent="1"/>
      <protection locked="0"/>
    </xf>
    <xf numFmtId="0" fontId="0" fillId="2" borderId="26" xfId="0" applyFill="1" applyBorder="1" applyAlignment="1" applyProtection="1">
      <alignment horizontal="left" vertical="center" wrapText="1" indent="1"/>
      <protection locked="0"/>
    </xf>
    <xf numFmtId="0" fontId="0" fillId="6" borderId="27" xfId="0" applyFill="1" applyBorder="1" applyAlignment="1" applyProtection="1">
      <alignment horizontal="left" vertical="center" wrapText="1" indent="1"/>
      <protection locked="0"/>
    </xf>
    <xf numFmtId="0" fontId="0" fillId="9" borderId="27" xfId="0" applyFill="1" applyBorder="1" applyAlignment="1" applyProtection="1">
      <alignment horizontal="left" vertical="center" wrapText="1" indent="1"/>
      <protection locked="0"/>
    </xf>
    <xf numFmtId="0" fontId="0" fillId="10" borderId="27" xfId="0" applyFill="1" applyBorder="1" applyAlignment="1" applyProtection="1">
      <alignment horizontal="left" vertical="center" wrapText="1" indent="1"/>
      <protection locked="0"/>
    </xf>
    <xf numFmtId="0" fontId="0" fillId="2" borderId="26" xfId="0" applyFill="1" applyBorder="1" applyAlignment="1" applyProtection="1">
      <alignment horizontal="left" vertical="center" indent="1"/>
      <protection locked="0"/>
    </xf>
    <xf numFmtId="0" fontId="0" fillId="6" borderId="27" xfId="0" applyFill="1" applyBorder="1" applyAlignment="1" applyProtection="1">
      <alignment horizontal="left" vertical="center" indent="1"/>
      <protection locked="0"/>
    </xf>
    <xf numFmtId="0" fontId="0" fillId="9" borderId="27" xfId="0" applyFill="1" applyBorder="1" applyAlignment="1" applyProtection="1">
      <alignment horizontal="left" vertical="center" indent="1"/>
      <protection locked="0"/>
    </xf>
    <xf numFmtId="0" fontId="0" fillId="10" borderId="27" xfId="0" applyFill="1" applyBorder="1" applyAlignment="1" applyProtection="1">
      <alignment horizontal="left" vertical="center" indent="1"/>
      <protection locked="0"/>
    </xf>
    <xf numFmtId="0" fontId="0" fillId="9" borderId="65" xfId="0" applyFill="1" applyBorder="1" applyAlignment="1" applyProtection="1">
      <alignment horizontal="left" vertical="center" indent="1"/>
      <protection locked="0"/>
    </xf>
    <xf numFmtId="0" fontId="0" fillId="2" borderId="25" xfId="0" applyFill="1" applyBorder="1" applyAlignment="1" applyProtection="1">
      <alignment horizontal="left" vertical="center" indent="1"/>
      <protection locked="0"/>
    </xf>
    <xf numFmtId="0" fontId="0" fillId="6" borderId="44" xfId="0" applyFill="1" applyBorder="1" applyAlignment="1" applyProtection="1">
      <alignment horizontal="left" vertical="center" indent="1"/>
      <protection locked="0"/>
    </xf>
    <xf numFmtId="0" fontId="0" fillId="9" borderId="44" xfId="0" applyFill="1" applyBorder="1" applyAlignment="1" applyProtection="1">
      <alignment horizontal="left" vertical="center" indent="1"/>
      <protection locked="0"/>
    </xf>
    <xf numFmtId="0" fontId="0" fillId="10" borderId="44" xfId="0" applyFill="1" applyBorder="1" applyAlignment="1" applyProtection="1">
      <alignment horizontal="left" vertical="center" indent="1"/>
      <protection locked="0"/>
    </xf>
    <xf numFmtId="0" fontId="0" fillId="2" borderId="28" xfId="0" applyFill="1" applyBorder="1" applyAlignment="1" applyProtection="1">
      <alignment horizontal="left" vertical="top" wrapText="1" indent="1"/>
      <protection locked="0"/>
    </xf>
    <xf numFmtId="0" fontId="0" fillId="6" borderId="29" xfId="0" applyFill="1" applyBorder="1" applyAlignment="1" applyProtection="1">
      <alignment horizontal="left" vertical="top" wrapText="1" indent="1"/>
      <protection locked="0"/>
    </xf>
    <xf numFmtId="0" fontId="0" fillId="9" borderId="29" xfId="0" applyFill="1" applyBorder="1" applyAlignment="1" applyProtection="1">
      <alignment horizontal="left" vertical="top" wrapText="1" indent="1"/>
      <protection locked="0"/>
    </xf>
    <xf numFmtId="0" fontId="0" fillId="10" borderId="29" xfId="0" applyFill="1" applyBorder="1" applyAlignment="1" applyProtection="1">
      <alignment horizontal="left" vertical="top" wrapText="1" indent="1"/>
      <protection locked="0"/>
    </xf>
    <xf numFmtId="0" fontId="0" fillId="2" borderId="30" xfId="0" applyFill="1" applyBorder="1" applyAlignment="1" applyProtection="1">
      <alignment horizontal="left" vertical="center" indent="1"/>
      <protection locked="0"/>
    </xf>
    <xf numFmtId="0" fontId="0" fillId="6" borderId="31" xfId="0" applyFill="1" applyBorder="1" applyAlignment="1" applyProtection="1">
      <alignment horizontal="left" vertical="center" indent="1"/>
      <protection locked="0"/>
    </xf>
    <xf numFmtId="0" fontId="0" fillId="9" borderId="31" xfId="0" applyFill="1" applyBorder="1" applyAlignment="1" applyProtection="1">
      <alignment horizontal="left" vertical="center" indent="1"/>
      <protection locked="0"/>
    </xf>
    <xf numFmtId="0" fontId="0" fillId="10" borderId="31" xfId="0" applyFill="1" applyBorder="1" applyAlignment="1" applyProtection="1">
      <alignment horizontal="left" vertical="center" indent="1"/>
      <protection locked="0"/>
    </xf>
    <xf numFmtId="0" fontId="0" fillId="9" borderId="69" xfId="0" applyFill="1" applyBorder="1" applyAlignment="1" applyProtection="1">
      <alignment horizontal="left" vertical="center" indent="1"/>
      <protection locked="0"/>
    </xf>
    <xf numFmtId="0" fontId="45"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165" fontId="0" fillId="6" borderId="39" xfId="0" applyNumberFormat="1" applyFill="1" applyBorder="1" applyAlignment="1" applyProtection="1">
      <alignment horizontal="right" indent="2"/>
      <protection locked="0"/>
    </xf>
    <xf numFmtId="0" fontId="0" fillId="6" borderId="63" xfId="0" applyFill="1" applyBorder="1" applyAlignment="1" applyProtection="1">
      <alignment horizontal="left" indent="1"/>
      <protection locked="0"/>
    </xf>
    <xf numFmtId="0" fontId="0" fillId="2" borderId="26"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0" fillId="9" borderId="70" xfId="0" applyFill="1" applyBorder="1" applyAlignment="1" applyProtection="1">
      <alignment horizontal="left" vertical="top" wrapText="1" indent="1"/>
      <protection locked="0"/>
    </xf>
    <xf numFmtId="0" fontId="4" fillId="4" borderId="71" xfId="0" applyFont="1" applyFill="1" applyBorder="1" applyAlignment="1" applyProtection="1">
      <alignment horizontal="center" vertical="center" wrapText="1"/>
    </xf>
    <xf numFmtId="0" fontId="0" fillId="13" borderId="56" xfId="0" applyFill="1" applyBorder="1" applyAlignment="1" applyProtection="1">
      <alignment horizontal="center"/>
    </xf>
    <xf numFmtId="0" fontId="4" fillId="0" borderId="59" xfId="0" applyFont="1" applyBorder="1" applyAlignment="1">
      <alignment horizontal="center" vertical="center" wrapText="1"/>
    </xf>
    <xf numFmtId="0" fontId="0" fillId="7" borderId="41" xfId="0" applyNumberFormat="1" applyFill="1" applyBorder="1" applyAlignment="1">
      <alignment horizontal="center" vertical="center"/>
    </xf>
    <xf numFmtId="0" fontId="0" fillId="0" borderId="39" xfId="0" applyFill="1" applyBorder="1" applyAlignment="1" applyProtection="1">
      <alignment horizontal="left" indent="1"/>
    </xf>
    <xf numFmtId="0" fontId="0" fillId="6" borderId="72" xfId="0" applyNumberFormat="1" applyFill="1" applyBorder="1" applyAlignment="1" applyProtection="1">
      <alignment horizontal="center" vertical="center"/>
      <protection locked="0"/>
    </xf>
    <xf numFmtId="0" fontId="0" fillId="6" borderId="73" xfId="0" applyNumberFormat="1" applyFill="1" applyBorder="1" applyAlignment="1" applyProtection="1">
      <alignment horizontal="center" vertical="center"/>
      <protection locked="0"/>
    </xf>
    <xf numFmtId="0" fontId="0" fillId="6" borderId="39" xfId="0" applyNumberFormat="1" applyFill="1" applyBorder="1" applyAlignment="1" applyProtection="1">
      <alignment horizontal="center" vertical="center"/>
      <protection locked="0"/>
    </xf>
    <xf numFmtId="0" fontId="33" fillId="0" borderId="75" xfId="0" applyFont="1" applyFill="1" applyBorder="1" applyAlignment="1">
      <alignment horizontal="left" indent="1"/>
    </xf>
    <xf numFmtId="0" fontId="0" fillId="0" borderId="76" xfId="0" applyBorder="1" applyAlignment="1">
      <alignment horizontal="left" indent="1"/>
    </xf>
    <xf numFmtId="0" fontId="0" fillId="0" borderId="77" xfId="0" applyBorder="1" applyAlignment="1">
      <alignment horizontal="left" indent="1"/>
    </xf>
    <xf numFmtId="0" fontId="0" fillId="0" borderId="22" xfId="0" applyFill="1" applyBorder="1" applyAlignment="1" applyProtection="1">
      <alignment horizontal="left" indent="1"/>
    </xf>
    <xf numFmtId="0" fontId="0" fillId="2" borderId="67" xfId="0"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52" xfId="0" applyFill="1" applyBorder="1" applyAlignment="1">
      <alignment horizontal="right" indent="2"/>
    </xf>
    <xf numFmtId="0" fontId="0" fillId="0" borderId="53" xfId="0" applyFill="1" applyBorder="1" applyAlignment="1">
      <alignment horizontal="right" indent="2"/>
    </xf>
    <xf numFmtId="0" fontId="0" fillId="0" borderId="78" xfId="0" applyBorder="1" applyProtection="1"/>
    <xf numFmtId="0" fontId="0" fillId="0" borderId="79" xfId="0" applyBorder="1" applyProtection="1"/>
    <xf numFmtId="0" fontId="0" fillId="0" borderId="0" xfId="0" applyAlignment="1">
      <alignment horizontal="center"/>
    </xf>
    <xf numFmtId="0" fontId="0" fillId="13" borderId="80" xfId="0" applyFill="1" applyBorder="1" applyAlignment="1" applyProtection="1">
      <alignment horizontal="center"/>
    </xf>
    <xf numFmtId="0" fontId="0" fillId="6" borderId="63" xfId="0" applyFill="1" applyBorder="1" applyAlignment="1" applyProtection="1">
      <alignment horizontal="left" indent="3"/>
      <protection locked="0"/>
    </xf>
    <xf numFmtId="0" fontId="0" fillId="5" borderId="35" xfId="0" applyFill="1" applyBorder="1" applyAlignment="1" applyProtection="1">
      <alignment horizontal="left" indent="1"/>
    </xf>
    <xf numFmtId="0" fontId="0" fillId="0" borderId="0" xfId="0" applyBorder="1" applyProtection="1">
      <protection locked="0"/>
    </xf>
    <xf numFmtId="0" fontId="0" fillId="0" borderId="55" xfId="0" applyBorder="1" applyProtection="1">
      <protection locked="0"/>
    </xf>
    <xf numFmtId="0" fontId="0" fillId="5" borderId="90" xfId="0" applyFill="1" applyBorder="1" applyAlignment="1" applyProtection="1">
      <alignment horizontal="left" indent="1"/>
    </xf>
    <xf numFmtId="0" fontId="0" fillId="13" borderId="91" xfId="0" applyFill="1" applyBorder="1" applyAlignment="1" applyProtection="1">
      <alignment horizontal="center"/>
    </xf>
    <xf numFmtId="0" fontId="0" fillId="2" borderId="28" xfId="0" applyFill="1" applyBorder="1" applyAlignment="1" applyProtection="1">
      <alignment horizontal="left" indent="1"/>
      <protection locked="0"/>
    </xf>
    <xf numFmtId="0" fontId="0" fillId="9" borderId="29" xfId="0" applyFill="1" applyBorder="1" applyAlignment="1" applyProtection="1">
      <alignment horizontal="left" indent="1"/>
      <protection locked="0"/>
    </xf>
    <xf numFmtId="0" fontId="0" fillId="10" borderId="29" xfId="0" applyFill="1" applyBorder="1" applyAlignment="1" applyProtection="1">
      <alignment horizontal="left" indent="1"/>
      <protection locked="0"/>
    </xf>
    <xf numFmtId="0" fontId="0" fillId="5" borderId="36" xfId="0" applyFill="1" applyBorder="1" applyAlignment="1" applyProtection="1">
      <alignment horizontal="left" indent="1"/>
      <protection locked="0"/>
    </xf>
    <xf numFmtId="0" fontId="31" fillId="4" borderId="81" xfId="0" applyFont="1" applyFill="1" applyBorder="1" applyAlignment="1" applyProtection="1"/>
    <xf numFmtId="0" fontId="31" fillId="4" borderId="38" xfId="0" applyFont="1" applyFill="1" applyBorder="1" applyAlignment="1" applyProtection="1">
      <alignment horizontal="left" indent="1"/>
    </xf>
    <xf numFmtId="167" fontId="0" fillId="0" borderId="0" xfId="0" applyNumberFormat="1" applyAlignment="1">
      <alignment horizontal="right"/>
    </xf>
    <xf numFmtId="0" fontId="53" fillId="15" borderId="92" xfId="0" applyFont="1" applyFill="1" applyBorder="1" applyAlignment="1" applyProtection="1">
      <alignment horizontal="center" vertical="center"/>
      <protection locked="0"/>
    </xf>
    <xf numFmtId="0" fontId="53" fillId="15" borderId="8" xfId="0" applyFont="1" applyFill="1" applyBorder="1" applyAlignment="1" applyProtection="1">
      <alignment horizontal="center" vertical="center"/>
      <protection locked="0"/>
    </xf>
    <xf numFmtId="0" fontId="47" fillId="0" borderId="0" xfId="0" applyFont="1" applyFill="1" applyAlignment="1" applyProtection="1">
      <alignment horizontal="center" vertical="center"/>
    </xf>
    <xf numFmtId="0" fontId="53" fillId="15" borderId="7" xfId="0" applyFont="1" applyFill="1" applyBorder="1" applyAlignment="1" applyProtection="1">
      <alignment horizontal="center" vertical="center"/>
      <protection locked="0"/>
    </xf>
    <xf numFmtId="0" fontId="53" fillId="15" borderId="16" xfId="0" applyFont="1" applyFill="1" applyBorder="1" applyAlignment="1" applyProtection="1">
      <alignment horizontal="center" vertical="center"/>
      <protection locked="0"/>
    </xf>
    <xf numFmtId="0" fontId="53" fillId="0" borderId="15" xfId="0" applyFont="1" applyFill="1" applyBorder="1" applyProtection="1"/>
    <xf numFmtId="49" fontId="10" fillId="11" borderId="94" xfId="0" applyNumberFormat="1" applyFont="1" applyFill="1" applyBorder="1" applyAlignment="1" applyProtection="1">
      <alignment horizontal="left"/>
      <protection locked="0"/>
    </xf>
    <xf numFmtId="49" fontId="10" fillId="11" borderId="5" xfId="0" applyNumberFormat="1" applyFont="1" applyFill="1" applyBorder="1" applyAlignment="1" applyProtection="1">
      <alignment horizontal="left"/>
      <protection locked="0"/>
    </xf>
    <xf numFmtId="0" fontId="0" fillId="0" borderId="0" xfId="0" applyFill="1" applyAlignment="1">
      <alignment vertical="center"/>
    </xf>
    <xf numFmtId="0" fontId="0" fillId="0" borderId="95" xfId="0" applyBorder="1" applyProtection="1"/>
    <xf numFmtId="0" fontId="0" fillId="0" borderId="96" xfId="0" applyBorder="1" applyProtection="1"/>
    <xf numFmtId="0" fontId="0" fillId="0" borderId="97" xfId="0" applyBorder="1" applyProtection="1"/>
    <xf numFmtId="14" fontId="54" fillId="0" borderId="0" xfId="0" applyNumberFormat="1" applyFont="1" applyAlignment="1" applyProtection="1">
      <alignment horizontal="center" vertical="center"/>
    </xf>
    <xf numFmtId="0" fontId="0" fillId="0" borderId="0" xfId="0" applyAlignment="1" applyProtection="1">
      <alignment horizontal="center"/>
    </xf>
    <xf numFmtId="0" fontId="33" fillId="0" borderId="0" xfId="0" applyFont="1" applyAlignment="1" applyProtection="1">
      <alignment horizontal="center"/>
    </xf>
    <xf numFmtId="0" fontId="0" fillId="0" borderId="24" xfId="0" applyBorder="1"/>
    <xf numFmtId="0" fontId="0" fillId="0" borderId="42" xfId="0" applyBorder="1"/>
    <xf numFmtId="0" fontId="0" fillId="2" borderId="30" xfId="0" applyFill="1" applyBorder="1" applyAlignment="1" applyProtection="1">
      <alignment horizontal="left" vertical="top" wrapText="1" indent="1"/>
      <protection locked="0"/>
    </xf>
    <xf numFmtId="0" fontId="0" fillId="6" borderId="31" xfId="0" applyFill="1" applyBorder="1" applyAlignment="1" applyProtection="1">
      <alignment horizontal="left" vertical="top" wrapText="1" indent="1"/>
      <protection locked="0"/>
    </xf>
    <xf numFmtId="0" fontId="0" fillId="9" borderId="31" xfId="0" applyFill="1" applyBorder="1" applyAlignment="1" applyProtection="1">
      <alignment horizontal="left" vertical="top" wrapText="1" indent="1"/>
      <protection locked="0"/>
    </xf>
    <xf numFmtId="0" fontId="0" fillId="10" borderId="31" xfId="0" applyFill="1" applyBorder="1" applyAlignment="1" applyProtection="1">
      <alignment horizontal="left" vertical="top" wrapText="1" indent="1"/>
      <protection locked="0"/>
    </xf>
    <xf numFmtId="0" fontId="0" fillId="5" borderId="37" xfId="0" applyFill="1" applyBorder="1" applyAlignment="1" applyProtection="1">
      <alignment horizontal="left" vertical="top" wrapText="1" indent="1"/>
      <protection locked="0"/>
    </xf>
    <xf numFmtId="0" fontId="0" fillId="5" borderId="36" xfId="0" applyFill="1" applyBorder="1" applyAlignment="1" applyProtection="1">
      <alignment horizontal="left" vertical="center" wrapText="1" indent="1"/>
      <protection locked="0"/>
    </xf>
    <xf numFmtId="0" fontId="0" fillId="2" borderId="26" xfId="0" applyFill="1" applyBorder="1" applyAlignment="1" applyProtection="1">
      <alignment horizontal="left" vertical="top" wrapText="1" indent="1"/>
      <protection locked="0"/>
    </xf>
    <xf numFmtId="0" fontId="0" fillId="6" borderId="27" xfId="0" applyFill="1" applyBorder="1" applyAlignment="1" applyProtection="1">
      <alignment horizontal="left" vertical="top" wrapText="1" indent="1"/>
      <protection locked="0"/>
    </xf>
    <xf numFmtId="0" fontId="0" fillId="9" borderId="27" xfId="0" applyFill="1" applyBorder="1" applyAlignment="1" applyProtection="1">
      <alignment horizontal="left" vertical="top" wrapText="1" indent="1"/>
      <protection locked="0"/>
    </xf>
    <xf numFmtId="0" fontId="0" fillId="10" borderId="27" xfId="0" applyFill="1" applyBorder="1" applyAlignment="1" applyProtection="1">
      <alignment horizontal="left" vertical="top" wrapText="1" indent="1"/>
      <protection locked="0"/>
    </xf>
    <xf numFmtId="0" fontId="0" fillId="5" borderId="35" xfId="0" applyFill="1" applyBorder="1" applyAlignment="1" applyProtection="1">
      <alignment horizontal="left" vertical="top" wrapText="1" indent="1"/>
      <protection locked="0"/>
    </xf>
    <xf numFmtId="0" fontId="0" fillId="2" borderId="99" xfId="0" applyFill="1" applyBorder="1" applyAlignment="1" applyProtection="1">
      <alignment horizontal="left" vertical="top" wrapText="1" indent="1"/>
      <protection locked="0"/>
    </xf>
    <xf numFmtId="0" fontId="0" fillId="6" borderId="100" xfId="0" applyFill="1" applyBorder="1" applyAlignment="1" applyProtection="1">
      <alignment horizontal="left" vertical="top" wrapText="1" indent="1"/>
      <protection locked="0"/>
    </xf>
    <xf numFmtId="0" fontId="0" fillId="9" borderId="100" xfId="0" applyFill="1" applyBorder="1" applyAlignment="1" applyProtection="1">
      <alignment horizontal="left" vertical="top" wrapText="1" indent="1"/>
      <protection locked="0"/>
    </xf>
    <xf numFmtId="0" fontId="0" fillId="10" borderId="100" xfId="0" applyFill="1" applyBorder="1" applyAlignment="1" applyProtection="1">
      <alignment horizontal="left" vertical="top" wrapText="1" indent="1"/>
      <protection locked="0"/>
    </xf>
    <xf numFmtId="0" fontId="0" fillId="5" borderId="101" xfId="0" applyFill="1" applyBorder="1" applyAlignment="1" applyProtection="1">
      <alignment horizontal="left" vertical="top" wrapText="1" indent="1"/>
      <protection locked="0"/>
    </xf>
    <xf numFmtId="0" fontId="44" fillId="0" borderId="0" xfId="0" applyFont="1" applyAlignment="1">
      <alignment horizontal="center"/>
    </xf>
    <xf numFmtId="0" fontId="20" fillId="0" borderId="0" xfId="0" applyFont="1" applyBorder="1" applyAlignment="1">
      <alignment horizontal="center" vertical="top"/>
    </xf>
    <xf numFmtId="0" fontId="0" fillId="9" borderId="108" xfId="0" applyFill="1" applyBorder="1" applyAlignment="1" applyProtection="1">
      <alignment horizontal="left" indent="1"/>
      <protection locked="0"/>
    </xf>
    <xf numFmtId="0" fontId="1" fillId="5" borderId="32" xfId="0" applyFont="1" applyFill="1" applyBorder="1" applyAlignment="1" applyProtection="1">
      <alignment horizontal="center" vertical="center"/>
      <protection locked="0"/>
    </xf>
    <xf numFmtId="0" fontId="0" fillId="0" borderId="0" xfId="0" applyAlignment="1">
      <alignment horizontal="center"/>
    </xf>
    <xf numFmtId="0" fontId="0" fillId="0" borderId="0" xfId="0" applyAlignment="1">
      <alignment horizontal="center"/>
    </xf>
    <xf numFmtId="0" fontId="13" fillId="14" borderId="51" xfId="0" applyFont="1" applyFill="1" applyBorder="1" applyAlignment="1" applyProtection="1">
      <alignment horizontal="left" vertical="center"/>
    </xf>
    <xf numFmtId="0" fontId="18" fillId="0" borderId="0" xfId="0" applyFont="1" applyAlignment="1" applyProtection="1">
      <alignment horizontal="left" vertical="center"/>
    </xf>
    <xf numFmtId="0" fontId="19" fillId="0" borderId="0" xfId="0" applyFont="1" applyAlignment="1" applyProtection="1">
      <alignment horizontal="left" vertical="center"/>
    </xf>
    <xf numFmtId="0" fontId="0" fillId="0" borderId="0" xfId="0" applyAlignment="1" applyProtection="1">
      <alignment horizontal="left" vertical="center"/>
    </xf>
    <xf numFmtId="0" fontId="5" fillId="0" borderId="0" xfId="0" applyFont="1" applyAlignment="1" applyProtection="1">
      <alignment horizontal="left" vertical="center"/>
    </xf>
    <xf numFmtId="0" fontId="0" fillId="0" borderId="0" xfId="0" applyAlignment="1">
      <alignment horizontal="left" vertical="center"/>
    </xf>
    <xf numFmtId="0" fontId="0" fillId="0" borderId="0" xfId="0" applyAlignment="1">
      <alignment horizontal="center"/>
    </xf>
    <xf numFmtId="0" fontId="0" fillId="13" borderId="110" xfId="0" applyFill="1" applyBorder="1" applyAlignment="1" applyProtection="1">
      <alignment horizontal="center"/>
    </xf>
    <xf numFmtId="0" fontId="0" fillId="0" borderId="73" xfId="0" applyFill="1" applyBorder="1" applyAlignment="1">
      <alignment horizontal="left" indent="1"/>
    </xf>
    <xf numFmtId="0" fontId="0" fillId="0" borderId="74" xfId="0" applyFill="1" applyBorder="1" applyAlignment="1">
      <alignment horizontal="left" indent="1"/>
    </xf>
    <xf numFmtId="0" fontId="0" fillId="0" borderId="72" xfId="0" applyFill="1" applyBorder="1" applyAlignment="1">
      <alignment horizontal="left" indent="1"/>
    </xf>
    <xf numFmtId="0" fontId="56" fillId="0" borderId="0" xfId="0" applyFont="1" applyAlignment="1" applyProtection="1">
      <alignment horizontal="right" vertical="top" wrapText="1"/>
    </xf>
    <xf numFmtId="0" fontId="13" fillId="19" borderId="46" xfId="0" applyFont="1" applyFill="1" applyBorder="1" applyAlignment="1" applyProtection="1">
      <alignment horizontal="center" vertical="center"/>
    </xf>
    <xf numFmtId="0" fontId="13" fillId="19" borderId="47" xfId="0" applyFont="1" applyFill="1" applyBorder="1" applyAlignment="1" applyProtection="1">
      <alignment horizontal="left" vertical="center"/>
    </xf>
    <xf numFmtId="0" fontId="13" fillId="19" borderId="48" xfId="0" applyFont="1" applyFill="1" applyBorder="1" applyAlignment="1" applyProtection="1">
      <alignment horizontal="center" vertical="center"/>
    </xf>
    <xf numFmtId="0" fontId="13" fillId="19" borderId="49" xfId="0" applyFont="1" applyFill="1" applyBorder="1" applyAlignment="1" applyProtection="1">
      <alignment horizontal="left" vertical="center"/>
    </xf>
    <xf numFmtId="0" fontId="36" fillId="17" borderId="18" xfId="0" applyFont="1" applyFill="1" applyBorder="1"/>
    <xf numFmtId="0" fontId="59" fillId="0" borderId="0" xfId="0" applyFont="1" applyAlignment="1" applyProtection="1">
      <alignment horizontal="right" vertical="center" wrapText="1" indent="1"/>
    </xf>
    <xf numFmtId="0" fontId="63" fillId="0" borderId="0" xfId="0" applyFont="1" applyAlignment="1" applyProtection="1">
      <alignment horizontal="left" indent="2"/>
    </xf>
    <xf numFmtId="0" fontId="3" fillId="5" borderId="111" xfId="0" applyFont="1" applyFill="1" applyBorder="1" applyAlignment="1" applyProtection="1">
      <alignment horizontal="center" vertical="center"/>
      <protection locked="0"/>
    </xf>
    <xf numFmtId="0" fontId="0" fillId="0" borderId="78" xfId="0" applyBorder="1"/>
    <xf numFmtId="0" fontId="0" fillId="21" borderId="112" xfId="0" applyFill="1" applyBorder="1" applyAlignment="1" applyProtection="1">
      <alignment horizontal="left" vertical="top" wrapText="1" indent="1"/>
      <protection locked="0"/>
    </xf>
    <xf numFmtId="0" fontId="0" fillId="0" borderId="113" xfId="0" applyBorder="1"/>
    <xf numFmtId="0" fontId="0" fillId="6" borderId="114" xfId="0" applyFill="1" applyBorder="1" applyAlignment="1" applyProtection="1">
      <alignment horizontal="left" indent="1"/>
      <protection locked="0"/>
    </xf>
    <xf numFmtId="0" fontId="0" fillId="6" borderId="0" xfId="0" applyFill="1" applyBorder="1" applyAlignment="1" applyProtection="1">
      <alignment horizontal="left" indent="1"/>
      <protection locked="0"/>
    </xf>
    <xf numFmtId="0" fontId="0" fillId="6" borderId="105" xfId="0" applyFill="1" applyBorder="1" applyAlignment="1" applyProtection="1">
      <alignment horizontal="left" indent="1"/>
      <protection locked="0"/>
    </xf>
    <xf numFmtId="0" fontId="0" fillId="6" borderId="22" xfId="0" applyFill="1" applyBorder="1" applyAlignment="1" applyProtection="1">
      <alignment horizontal="left" indent="1"/>
      <protection locked="0"/>
    </xf>
    <xf numFmtId="0" fontId="0" fillId="5" borderId="37" xfId="0" applyFill="1" applyBorder="1" applyAlignment="1" applyProtection="1">
      <alignment horizontal="left" indent="1"/>
    </xf>
    <xf numFmtId="0" fontId="18" fillId="0" borderId="0" xfId="0" applyFont="1" applyFill="1" applyBorder="1" applyAlignment="1" applyProtection="1">
      <alignment vertical="center"/>
    </xf>
    <xf numFmtId="0" fontId="40" fillId="0" borderId="0" xfId="0" applyFont="1" applyFill="1" applyBorder="1" applyAlignment="1" applyProtection="1">
      <alignment vertical="center"/>
    </xf>
    <xf numFmtId="0" fontId="29" fillId="0" borderId="0" xfId="0" applyFont="1" applyFill="1" applyBorder="1" applyAlignment="1" applyProtection="1"/>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vertical="center"/>
    </xf>
    <xf numFmtId="0" fontId="0" fillId="0" borderId="0" xfId="0" applyFill="1" applyBorder="1" applyAlignment="1" applyProtection="1">
      <alignment vertical="center"/>
    </xf>
    <xf numFmtId="0" fontId="46" fillId="0" borderId="0" xfId="0" applyFont="1" applyFill="1" applyBorder="1" applyProtection="1"/>
    <xf numFmtId="0" fontId="41" fillId="0" borderId="0" xfId="0" applyFont="1" applyFill="1" applyBorder="1" applyAlignment="1" applyProtection="1">
      <alignment horizontal="right"/>
    </xf>
    <xf numFmtId="0" fontId="42" fillId="0" borderId="0" xfId="0" applyFont="1" applyFill="1" applyBorder="1" applyAlignment="1" applyProtection="1">
      <alignment horizontal="right"/>
    </xf>
    <xf numFmtId="0" fontId="15" fillId="0" borderId="0" xfId="0" applyFont="1" applyFill="1" applyBorder="1" applyAlignment="1" applyProtection="1"/>
    <xf numFmtId="0" fontId="37" fillId="0" borderId="0" xfId="0" applyFont="1" applyFill="1" applyBorder="1" applyAlignment="1" applyProtection="1"/>
    <xf numFmtId="0" fontId="0" fillId="0" borderId="0" xfId="0" applyFill="1" applyBorder="1" applyAlignment="1" applyProtection="1"/>
    <xf numFmtId="166" fontId="7" fillId="0" borderId="0" xfId="0" applyNumberFormat="1" applyFont="1" applyFill="1" applyBorder="1" applyAlignment="1" applyProtection="1"/>
    <xf numFmtId="0" fontId="29" fillId="0" borderId="0" xfId="0" applyFont="1" applyFill="1" applyBorder="1" applyAlignment="1" applyProtection="1">
      <alignment vertical="center"/>
    </xf>
    <xf numFmtId="0" fontId="36" fillId="0" borderId="0" xfId="0" applyFont="1" applyFill="1" applyBorder="1" applyAlignment="1" applyProtection="1"/>
    <xf numFmtId="0" fontId="13" fillId="14" borderId="48" xfId="0" applyFont="1" applyFill="1" applyBorder="1" applyAlignment="1" applyProtection="1">
      <alignment horizontal="center" vertical="center"/>
    </xf>
    <xf numFmtId="0" fontId="13" fillId="14" borderId="49" xfId="0" applyFont="1" applyFill="1" applyBorder="1" applyAlignment="1" applyProtection="1">
      <alignment horizontal="left" vertical="center"/>
    </xf>
    <xf numFmtId="0" fontId="68" fillId="0" borderId="0" xfId="0" applyFont="1" applyBorder="1" applyAlignment="1">
      <alignment horizontal="center" vertical="center" wrapText="1"/>
    </xf>
    <xf numFmtId="0" fontId="69" fillId="0" borderId="116" xfId="0" applyFont="1" applyBorder="1" applyAlignment="1">
      <alignment horizontal="center" vertical="center" wrapText="1"/>
    </xf>
    <xf numFmtId="0" fontId="69" fillId="0" borderId="117" xfId="0" applyFont="1" applyBorder="1" applyAlignment="1">
      <alignment horizontal="center" vertical="center" wrapText="1"/>
    </xf>
    <xf numFmtId="0" fontId="69" fillId="0" borderId="118" xfId="0" applyFont="1" applyBorder="1" applyAlignment="1">
      <alignment horizontal="center" vertical="center" wrapText="1"/>
    </xf>
    <xf numFmtId="0" fontId="69" fillId="0" borderId="120" xfId="0" applyFont="1" applyBorder="1" applyAlignment="1">
      <alignment horizontal="center" vertical="center" wrapText="1"/>
    </xf>
    <xf numFmtId="0" fontId="69" fillId="0" borderId="121" xfId="0" applyFont="1" applyBorder="1" applyAlignment="1">
      <alignment horizontal="center" vertical="center" wrapText="1"/>
    </xf>
    <xf numFmtId="0" fontId="69" fillId="0" borderId="122" xfId="0" applyFont="1" applyBorder="1" applyAlignment="1">
      <alignment horizontal="center" vertical="center" wrapText="1"/>
    </xf>
    <xf numFmtId="0" fontId="69" fillId="0" borderId="124" xfId="0" applyFont="1" applyBorder="1" applyAlignment="1">
      <alignment horizontal="center" vertical="center" wrapText="1"/>
    </xf>
    <xf numFmtId="0" fontId="69" fillId="0" borderId="125" xfId="0" applyFont="1" applyBorder="1" applyAlignment="1">
      <alignment horizontal="center" vertical="center" wrapText="1"/>
    </xf>
    <xf numFmtId="0" fontId="69" fillId="0" borderId="126" xfId="0" applyFont="1" applyBorder="1" applyAlignment="1">
      <alignment horizontal="center" vertical="center" wrapText="1"/>
    </xf>
    <xf numFmtId="0" fontId="0" fillId="2" borderId="26" xfId="0" applyFill="1" applyBorder="1" applyAlignment="1" applyProtection="1">
      <alignment horizontal="left" vertical="top" indent="1"/>
      <protection locked="0"/>
    </xf>
    <xf numFmtId="0" fontId="0" fillId="6" borderId="27" xfId="0" applyFill="1" applyBorder="1" applyAlignment="1" applyProtection="1">
      <alignment horizontal="left" vertical="top" indent="1"/>
      <protection locked="0"/>
    </xf>
    <xf numFmtId="0" fontId="0" fillId="9" borderId="27" xfId="0" applyFill="1" applyBorder="1" applyAlignment="1" applyProtection="1">
      <alignment horizontal="left" vertical="top" indent="1"/>
      <protection locked="0"/>
    </xf>
    <xf numFmtId="0" fontId="0" fillId="10" borderId="27" xfId="0" applyFill="1" applyBorder="1" applyAlignment="1" applyProtection="1">
      <alignment horizontal="left" vertical="top" indent="1"/>
      <protection locked="0"/>
    </xf>
    <xf numFmtId="0" fontId="0" fillId="5" borderId="35" xfId="0" applyFill="1" applyBorder="1" applyAlignment="1" applyProtection="1">
      <alignment horizontal="left" vertical="top" indent="1"/>
      <protection locked="0"/>
    </xf>
    <xf numFmtId="0" fontId="67" fillId="0" borderId="0" xfId="0" applyFont="1" applyAlignment="1"/>
    <xf numFmtId="0" fontId="70" fillId="0" borderId="135" xfId="0" applyFont="1" applyBorder="1" applyAlignment="1">
      <alignment horizontal="center" vertical="center" wrapText="1"/>
    </xf>
    <xf numFmtId="0" fontId="71" fillId="0" borderId="127" xfId="0" applyFont="1" applyFill="1" applyBorder="1" applyAlignment="1">
      <alignment horizontal="center" vertical="center" wrapText="1"/>
    </xf>
    <xf numFmtId="0" fontId="71" fillId="0" borderId="132" xfId="0" applyFont="1" applyFill="1" applyBorder="1" applyAlignment="1">
      <alignment horizontal="center" vertical="center" wrapText="1"/>
    </xf>
    <xf numFmtId="0" fontId="71" fillId="0" borderId="128" xfId="0" applyFont="1" applyFill="1" applyBorder="1" applyAlignment="1">
      <alignment horizontal="center" vertical="center" wrapText="1"/>
    </xf>
    <xf numFmtId="0" fontId="71" fillId="0" borderId="129" xfId="0" applyFont="1" applyFill="1" applyBorder="1" applyAlignment="1">
      <alignment horizontal="center" vertical="center" wrapText="1"/>
    </xf>
    <xf numFmtId="0" fontId="72" fillId="0" borderId="136" xfId="0" applyFont="1" applyBorder="1" applyAlignment="1">
      <alignment horizontal="center" vertical="center"/>
    </xf>
    <xf numFmtId="0" fontId="72" fillId="0" borderId="137" xfId="0" applyFont="1" applyBorder="1" applyAlignment="1">
      <alignment horizontal="center" vertical="center"/>
    </xf>
    <xf numFmtId="0" fontId="72" fillId="0" borderId="138" xfId="0" applyFont="1" applyBorder="1" applyAlignment="1">
      <alignment horizontal="center" vertical="center"/>
    </xf>
    <xf numFmtId="0" fontId="72" fillId="0" borderId="139" xfId="0" applyFont="1" applyBorder="1" applyAlignment="1">
      <alignment horizontal="center" vertical="center"/>
    </xf>
    <xf numFmtId="0" fontId="71" fillId="0" borderId="133" xfId="0" applyFont="1" applyFill="1" applyBorder="1" applyAlignment="1">
      <alignment horizontal="center" vertical="center" wrapText="1"/>
    </xf>
    <xf numFmtId="0" fontId="71" fillId="0" borderId="134" xfId="0" applyFont="1" applyFill="1" applyBorder="1" applyAlignment="1">
      <alignment horizontal="center" vertical="center" wrapText="1"/>
    </xf>
    <xf numFmtId="0" fontId="72" fillId="0" borderId="130" xfId="0" applyFont="1" applyBorder="1" applyAlignment="1">
      <alignment horizontal="center" vertical="center"/>
    </xf>
    <xf numFmtId="0" fontId="72" fillId="0" borderId="131" xfId="0" applyFont="1" applyBorder="1" applyAlignment="1">
      <alignment horizontal="center" vertical="center"/>
    </xf>
    <xf numFmtId="0" fontId="0" fillId="0" borderId="140" xfId="0" applyBorder="1"/>
    <xf numFmtId="0" fontId="0" fillId="0" borderId="0" xfId="0" applyBorder="1" applyAlignment="1">
      <alignment horizontal="center"/>
    </xf>
    <xf numFmtId="0" fontId="22" fillId="0" borderId="21" xfId="0" applyFont="1" applyBorder="1" applyAlignment="1">
      <alignment horizontal="center"/>
    </xf>
    <xf numFmtId="0" fontId="25" fillId="0" borderId="0" xfId="0" applyFont="1"/>
    <xf numFmtId="0" fontId="10" fillId="0" borderId="0" xfId="0" applyFont="1" applyAlignment="1">
      <alignment horizontal="center"/>
    </xf>
    <xf numFmtId="0" fontId="0" fillId="0" borderId="141" xfId="0" applyBorder="1" applyAlignment="1">
      <alignment horizontal="center"/>
    </xf>
    <xf numFmtId="0" fontId="0" fillId="0" borderId="142" xfId="0" applyBorder="1"/>
    <xf numFmtId="0" fontId="73" fillId="22" borderId="142" xfId="0" applyFont="1" applyFill="1" applyBorder="1" applyAlignment="1">
      <alignment horizontal="center"/>
    </xf>
    <xf numFmtId="0" fontId="0" fillId="0" borderId="142" xfId="0" applyBorder="1" applyAlignment="1">
      <alignment horizontal="center"/>
    </xf>
    <xf numFmtId="0" fontId="0" fillId="0" borderId="143" xfId="0" applyBorder="1" applyAlignment="1">
      <alignment horizontal="center"/>
    </xf>
    <xf numFmtId="0" fontId="0" fillId="0" borderId="144" xfId="0" applyBorder="1" applyAlignment="1">
      <alignment horizontal="center"/>
    </xf>
    <xf numFmtId="168" fontId="0" fillId="0" borderId="142" xfId="0" applyNumberFormat="1" applyBorder="1"/>
    <xf numFmtId="0" fontId="0" fillId="0" borderId="145" xfId="0" applyBorder="1" applyAlignment="1">
      <alignment horizontal="center"/>
    </xf>
    <xf numFmtId="0" fontId="0" fillId="0" borderId="142" xfId="0" applyFont="1" applyBorder="1" applyAlignment="1">
      <alignment horizontal="center"/>
    </xf>
    <xf numFmtId="0" fontId="7" fillId="22" borderId="143" xfId="0" applyFont="1" applyFill="1" applyBorder="1"/>
    <xf numFmtId="0" fontId="7" fillId="22" borderId="146" xfId="0" applyFont="1" applyFill="1" applyBorder="1" applyAlignment="1">
      <alignment horizontal="center"/>
    </xf>
    <xf numFmtId="0" fontId="7" fillId="22" borderId="147" xfId="0" applyFont="1" applyFill="1" applyBorder="1" applyAlignment="1">
      <alignment horizontal="left"/>
    </xf>
    <xf numFmtId="0" fontId="0" fillId="0" borderId="148" xfId="0" applyBorder="1" applyAlignment="1">
      <alignment horizontal="center"/>
    </xf>
    <xf numFmtId="0" fontId="0" fillId="0" borderId="102" xfId="0" applyBorder="1"/>
    <xf numFmtId="0" fontId="73" fillId="22" borderId="102" xfId="0" applyFont="1" applyFill="1" applyBorder="1" applyAlignment="1">
      <alignment horizontal="center"/>
    </xf>
    <xf numFmtId="0" fontId="0" fillId="0" borderId="102" xfId="0" applyBorder="1" applyAlignment="1">
      <alignment horizontal="center"/>
    </xf>
    <xf numFmtId="0" fontId="0" fillId="0" borderId="149" xfId="0" applyBorder="1" applyAlignment="1">
      <alignment horizontal="center"/>
    </xf>
    <xf numFmtId="0" fontId="0" fillId="0" borderId="104" xfId="0" applyBorder="1" applyAlignment="1">
      <alignment horizontal="center"/>
    </xf>
    <xf numFmtId="168" fontId="0" fillId="0" borderId="102" xfId="0" applyNumberFormat="1" applyBorder="1"/>
    <xf numFmtId="0" fontId="0" fillId="0" borderId="150" xfId="0" applyBorder="1" applyAlignment="1">
      <alignment horizontal="center"/>
    </xf>
    <xf numFmtId="0" fontId="0" fillId="0" borderId="102" xfId="0" applyFont="1" applyBorder="1" applyAlignment="1">
      <alignment horizontal="center"/>
    </xf>
    <xf numFmtId="0" fontId="7" fillId="22" borderId="149" xfId="0" applyFont="1" applyFill="1" applyBorder="1"/>
    <xf numFmtId="0" fontId="7" fillId="22" borderId="103" xfId="0" applyFont="1" applyFill="1" applyBorder="1" applyAlignment="1">
      <alignment horizontal="center"/>
    </xf>
    <xf numFmtId="0" fontId="7" fillId="22" borderId="151" xfId="0" applyFont="1" applyFill="1" applyBorder="1" applyAlignment="1">
      <alignment horizontal="left"/>
    </xf>
    <xf numFmtId="0" fontId="0" fillId="0" borderId="152" xfId="0" applyBorder="1" applyAlignment="1">
      <alignment horizontal="center"/>
    </xf>
    <xf numFmtId="0" fontId="0" fillId="0" borderId="153" xfId="0" applyBorder="1"/>
    <xf numFmtId="0" fontId="73" fillId="22" borderId="153" xfId="0" applyFont="1" applyFill="1" applyBorder="1" applyAlignment="1">
      <alignment horizontal="center"/>
    </xf>
    <xf numFmtId="0" fontId="0" fillId="0" borderId="153" xfId="0" applyBorder="1" applyAlignment="1">
      <alignment horizontal="center"/>
    </xf>
    <xf numFmtId="0" fontId="0" fillId="0" borderId="154" xfId="0" applyBorder="1" applyAlignment="1">
      <alignment horizontal="center"/>
    </xf>
    <xf numFmtId="0" fontId="0" fillId="0" borderId="155" xfId="0" applyBorder="1" applyAlignment="1">
      <alignment horizontal="center"/>
    </xf>
    <xf numFmtId="168" fontId="0" fillId="0" borderId="153" xfId="0" applyNumberFormat="1" applyBorder="1"/>
    <xf numFmtId="0" fontId="0" fillId="0" borderId="156" xfId="0" applyBorder="1" applyAlignment="1">
      <alignment horizontal="center"/>
    </xf>
    <xf numFmtId="0" fontId="7" fillId="22" borderId="154" xfId="0" applyFont="1" applyFill="1" applyBorder="1"/>
    <xf numFmtId="0" fontId="7" fillId="22" borderId="157" xfId="0" applyFont="1" applyFill="1" applyBorder="1" applyAlignment="1">
      <alignment horizontal="center"/>
    </xf>
    <xf numFmtId="0" fontId="7" fillId="22" borderId="158" xfId="0" applyFont="1" applyFill="1" applyBorder="1" applyAlignment="1">
      <alignment horizontal="left"/>
    </xf>
    <xf numFmtId="0" fontId="24" fillId="0" borderId="0" xfId="0" applyFont="1" applyAlignment="1">
      <alignment horizontal="right" indent="1"/>
    </xf>
    <xf numFmtId="0" fontId="0" fillId="8" borderId="20" xfId="0" applyNumberFormat="1" applyFill="1" applyBorder="1" applyAlignment="1">
      <alignment horizontal="center"/>
    </xf>
    <xf numFmtId="0" fontId="0" fillId="0" borderId="159" xfId="0" applyBorder="1" applyAlignment="1">
      <alignment horizontal="center"/>
    </xf>
    <xf numFmtId="0" fontId="0" fillId="0" borderId="160" xfId="0" applyBorder="1"/>
    <xf numFmtId="0" fontId="73" fillId="22" borderId="160" xfId="0" applyFont="1" applyFill="1" applyBorder="1" applyAlignment="1">
      <alignment horizontal="center"/>
    </xf>
    <xf numFmtId="0" fontId="0" fillId="0" borderId="160" xfId="0" applyBorder="1" applyAlignment="1">
      <alignment horizontal="center"/>
    </xf>
    <xf numFmtId="0" fontId="0" fillId="0" borderId="161" xfId="0" applyBorder="1" applyAlignment="1">
      <alignment horizontal="center"/>
    </xf>
    <xf numFmtId="0" fontId="0" fillId="0" borderId="162" xfId="0" applyBorder="1" applyAlignment="1">
      <alignment horizontal="center"/>
    </xf>
    <xf numFmtId="168" fontId="0" fillId="0" borderId="160" xfId="0" applyNumberFormat="1" applyBorder="1"/>
    <xf numFmtId="0" fontId="0" fillId="0" borderId="163" xfId="0" applyBorder="1" applyAlignment="1">
      <alignment horizontal="center"/>
    </xf>
    <xf numFmtId="0" fontId="7" fillId="22" borderId="161" xfId="0" applyFont="1" applyFill="1" applyBorder="1"/>
    <xf numFmtId="0" fontId="7" fillId="22" borderId="164" xfId="0" applyFont="1" applyFill="1" applyBorder="1" applyAlignment="1">
      <alignment horizontal="center"/>
    </xf>
    <xf numFmtId="0" fontId="7" fillId="22" borderId="165" xfId="0" applyFont="1" applyFill="1" applyBorder="1" applyAlignment="1">
      <alignment horizontal="left"/>
    </xf>
    <xf numFmtId="0" fontId="0" fillId="0" borderId="166" xfId="0" applyBorder="1"/>
    <xf numFmtId="0" fontId="0" fillId="0" borderId="167" xfId="0" applyBorder="1" applyAlignment="1">
      <alignment horizontal="center"/>
    </xf>
    <xf numFmtId="0" fontId="24" fillId="0" borderId="140" xfId="0" applyFont="1" applyBorder="1"/>
    <xf numFmtId="0" fontId="0" fillId="0" borderId="168" xfId="0" applyBorder="1" applyAlignment="1">
      <alignment horizontal="center"/>
    </xf>
    <xf numFmtId="0" fontId="0" fillId="0" borderId="168" xfId="0" applyBorder="1"/>
    <xf numFmtId="168" fontId="0" fillId="0" borderId="168" xfId="0" applyNumberFormat="1" applyBorder="1"/>
    <xf numFmtId="168" fontId="0" fillId="0" borderId="0" xfId="0" applyNumberFormat="1" applyBorder="1"/>
    <xf numFmtId="168" fontId="0" fillId="0" borderId="21" xfId="0" applyNumberFormat="1" applyBorder="1"/>
    <xf numFmtId="0" fontId="15" fillId="24" borderId="10" xfId="0" applyFont="1" applyFill="1" applyBorder="1" applyAlignment="1" applyProtection="1"/>
    <xf numFmtId="0" fontId="15" fillId="25" borderId="169" xfId="0" applyFont="1" applyFill="1" applyBorder="1" applyAlignment="1" applyProtection="1">
      <alignment horizontal="left" indent="1"/>
    </xf>
    <xf numFmtId="0" fontId="15" fillId="25" borderId="170" xfId="0" applyFont="1" applyFill="1" applyBorder="1" applyAlignment="1" applyProtection="1">
      <alignment horizontal="left"/>
    </xf>
    <xf numFmtId="0" fontId="75" fillId="12" borderId="171" xfId="0" applyFont="1" applyFill="1" applyBorder="1" applyAlignment="1" applyProtection="1">
      <alignment horizontal="center"/>
    </xf>
    <xf numFmtId="0" fontId="0" fillId="0" borderId="0" xfId="0" applyBorder="1" applyAlignment="1" applyProtection="1">
      <alignment vertical="top"/>
      <protection locked="0"/>
    </xf>
    <xf numFmtId="0" fontId="51" fillId="9" borderId="172" xfId="0" applyFont="1" applyFill="1" applyBorder="1" applyAlignment="1">
      <alignment horizontal="center"/>
    </xf>
    <xf numFmtId="0" fontId="75" fillId="12" borderId="173" xfId="0" applyFont="1" applyFill="1" applyBorder="1" applyAlignment="1" applyProtection="1">
      <alignment horizontal="center"/>
    </xf>
    <xf numFmtId="0" fontId="15" fillId="24" borderId="9" xfId="0" applyFont="1" applyFill="1" applyBorder="1" applyAlignment="1" applyProtection="1">
      <alignment horizontal="left" indent="1"/>
    </xf>
    <xf numFmtId="0" fontId="16" fillId="12" borderId="173" xfId="0" applyFont="1" applyFill="1" applyBorder="1" applyAlignment="1" applyProtection="1">
      <alignment horizontal="center"/>
    </xf>
    <xf numFmtId="0" fontId="15" fillId="25" borderId="177" xfId="0" applyFont="1" applyFill="1" applyBorder="1" applyAlignment="1" applyProtection="1">
      <alignment horizontal="left" indent="1"/>
    </xf>
    <xf numFmtId="0" fontId="15" fillId="25" borderId="178" xfId="0" applyFont="1" applyFill="1" applyBorder="1" applyAlignment="1" applyProtection="1">
      <alignment horizontal="left"/>
    </xf>
    <xf numFmtId="0" fontId="75" fillId="12" borderId="179" xfId="0" applyFont="1" applyFill="1" applyBorder="1" applyAlignment="1" applyProtection="1">
      <alignment horizontal="center"/>
    </xf>
    <xf numFmtId="0" fontId="15" fillId="24" borderId="11" xfId="0" applyFont="1" applyFill="1" applyBorder="1" applyAlignment="1" applyProtection="1">
      <alignment horizontal="left" indent="1"/>
    </xf>
    <xf numFmtId="0" fontId="15" fillId="24" borderId="12" xfId="0" applyFont="1" applyFill="1" applyBorder="1" applyAlignment="1" applyProtection="1"/>
    <xf numFmtId="0" fontId="75" fillId="12" borderId="176" xfId="0" applyFont="1" applyFill="1" applyBorder="1" applyAlignment="1" applyProtection="1">
      <alignment horizontal="center"/>
    </xf>
    <xf numFmtId="0" fontId="15" fillId="25" borderId="180" xfId="0" applyFont="1" applyFill="1" applyBorder="1" applyAlignment="1" applyProtection="1">
      <alignment horizontal="left" indent="1"/>
    </xf>
    <xf numFmtId="0" fontId="15" fillId="25" borderId="181" xfId="0" applyFont="1" applyFill="1" applyBorder="1" applyAlignment="1" applyProtection="1">
      <alignment horizontal="left"/>
    </xf>
    <xf numFmtId="0" fontId="75" fillId="12" borderId="182" xfId="0" applyFont="1" applyFill="1" applyBorder="1" applyAlignment="1" applyProtection="1">
      <alignment horizontal="center"/>
    </xf>
    <xf numFmtId="0" fontId="48" fillId="0" borderId="0" xfId="0" applyFont="1" applyFill="1" applyAlignment="1" applyProtection="1">
      <alignment horizontal="center" vertical="center"/>
    </xf>
    <xf numFmtId="0" fontId="26" fillId="0" borderId="0" xfId="0" applyFont="1" applyAlignment="1" applyProtection="1">
      <alignment vertical="top" wrapText="1"/>
    </xf>
    <xf numFmtId="0" fontId="22" fillId="0" borderId="183" xfId="0" applyFont="1" applyBorder="1" applyAlignment="1" applyProtection="1">
      <alignment horizontal="center" vertical="center" wrapText="1"/>
    </xf>
    <xf numFmtId="0" fontId="4" fillId="0" borderId="184" xfId="0" applyFont="1" applyBorder="1" applyAlignment="1" applyProtection="1">
      <alignment horizontal="center" vertical="center"/>
    </xf>
    <xf numFmtId="169" fontId="4" fillId="0" borderId="186" xfId="0" applyNumberFormat="1" applyFont="1" applyFill="1" applyBorder="1" applyAlignment="1" applyProtection="1">
      <alignment horizontal="right" indent="2"/>
    </xf>
    <xf numFmtId="170" fontId="0" fillId="0" borderId="187" xfId="0" applyNumberFormat="1" applyBorder="1" applyAlignment="1" applyProtection="1">
      <alignment horizontal="right" indent="2"/>
    </xf>
    <xf numFmtId="0" fontId="0" fillId="2" borderId="187" xfId="0" applyFill="1" applyBorder="1" applyAlignment="1" applyProtection="1">
      <alignment horizontal="left" indent="1"/>
    </xf>
    <xf numFmtId="0" fontId="0" fillId="0" borderId="187" xfId="0" applyFill="1" applyBorder="1" applyAlignment="1" applyProtection="1">
      <alignment horizontal="right" indent="2"/>
    </xf>
    <xf numFmtId="0" fontId="0" fillId="0" borderId="187" xfId="0" applyFill="1" applyBorder="1" applyAlignment="1" applyProtection="1">
      <alignment horizontal="center"/>
    </xf>
    <xf numFmtId="0" fontId="0" fillId="0" borderId="189" xfId="0" applyFill="1" applyBorder="1" applyAlignment="1" applyProtection="1">
      <alignment horizontal="right" indent="2"/>
    </xf>
    <xf numFmtId="169" fontId="4" fillId="0" borderId="190" xfId="0" applyNumberFormat="1" applyFont="1" applyFill="1" applyBorder="1" applyAlignment="1" applyProtection="1">
      <alignment horizontal="right" indent="2"/>
    </xf>
    <xf numFmtId="170" fontId="0" fillId="0" borderId="105" xfId="0" applyNumberFormat="1" applyBorder="1" applyAlignment="1" applyProtection="1">
      <alignment horizontal="right" indent="2"/>
    </xf>
    <xf numFmtId="0" fontId="0" fillId="0" borderId="105" xfId="0" applyFill="1" applyBorder="1" applyAlignment="1" applyProtection="1">
      <alignment horizontal="left" indent="1"/>
    </xf>
    <xf numFmtId="0" fontId="0" fillId="0" borderId="105" xfId="0" applyFill="1" applyBorder="1" applyAlignment="1" applyProtection="1">
      <alignment horizontal="right" indent="2"/>
    </xf>
    <xf numFmtId="0" fontId="0" fillId="0" borderId="105" xfId="0" applyFill="1" applyBorder="1" applyAlignment="1" applyProtection="1">
      <alignment horizontal="center"/>
    </xf>
    <xf numFmtId="0" fontId="0" fillId="0" borderId="191" xfId="0" applyFill="1" applyBorder="1" applyAlignment="1" applyProtection="1">
      <alignment horizontal="center"/>
    </xf>
    <xf numFmtId="0" fontId="79" fillId="0" borderId="0" xfId="0" applyFont="1" applyAlignment="1">
      <alignment horizontal="center" vertical="center"/>
    </xf>
    <xf numFmtId="0" fontId="0" fillId="5" borderId="192" xfId="0" applyFill="1" applyBorder="1" applyAlignment="1" applyProtection="1">
      <alignment horizontal="center"/>
      <protection locked="0"/>
    </xf>
    <xf numFmtId="0" fontId="0" fillId="26" borderId="0" xfId="0" applyFill="1" applyAlignment="1">
      <alignment horizontal="left" indent="1"/>
    </xf>
    <xf numFmtId="0" fontId="0" fillId="5" borderId="193" xfId="0" applyFill="1" applyBorder="1" applyAlignment="1" applyProtection="1">
      <alignment horizontal="center"/>
      <protection locked="0"/>
    </xf>
    <xf numFmtId="0" fontId="0" fillId="27" borderId="0" xfId="0" applyFill="1" applyAlignment="1">
      <alignment horizontal="left" indent="1"/>
    </xf>
    <xf numFmtId="0" fontId="0" fillId="28" borderId="0" xfId="0" applyFill="1" applyAlignment="1">
      <alignment horizontal="left" indent="1"/>
    </xf>
    <xf numFmtId="0" fontId="0" fillId="5" borderId="194" xfId="0" applyFill="1" applyBorder="1" applyAlignment="1" applyProtection="1">
      <alignment horizontal="center"/>
      <protection locked="0"/>
    </xf>
    <xf numFmtId="0" fontId="0" fillId="29" borderId="0" xfId="0" applyFill="1" applyAlignment="1">
      <alignment horizontal="left" indent="1"/>
    </xf>
    <xf numFmtId="0" fontId="0" fillId="0" borderId="0" xfId="0" applyFill="1" applyProtection="1"/>
    <xf numFmtId="169" fontId="4" fillId="0" borderId="195" xfId="0" applyNumberFormat="1" applyFont="1" applyFill="1" applyBorder="1" applyAlignment="1" applyProtection="1">
      <alignment horizontal="right" indent="2"/>
    </xf>
    <xf numFmtId="170" fontId="0" fillId="0" borderId="189" xfId="0" applyNumberFormat="1" applyBorder="1" applyAlignment="1" applyProtection="1">
      <alignment horizontal="right" indent="2"/>
    </xf>
    <xf numFmtId="169" fontId="4" fillId="0" borderId="196" xfId="0" applyNumberFormat="1" applyFont="1" applyFill="1" applyBorder="1" applyAlignment="1" applyProtection="1">
      <alignment horizontal="right" indent="2"/>
    </xf>
    <xf numFmtId="170" fontId="0" fillId="0" borderId="197" xfId="0" applyNumberFormat="1" applyBorder="1" applyAlignment="1" applyProtection="1">
      <alignment horizontal="right" indent="2"/>
    </xf>
    <xf numFmtId="0" fontId="0" fillId="0" borderId="198" xfId="0" applyFill="1" applyBorder="1" applyAlignment="1" applyProtection="1">
      <alignment horizontal="right" indent="2"/>
    </xf>
    <xf numFmtId="0" fontId="0" fillId="0" borderId="197" xfId="0" applyFill="1" applyBorder="1" applyAlignment="1" applyProtection="1">
      <alignment horizontal="center"/>
    </xf>
    <xf numFmtId="0" fontId="4" fillId="0" borderId="0" xfId="0" applyFont="1" applyProtection="1"/>
    <xf numFmtId="0" fontId="0" fillId="2" borderId="26" xfId="0" applyFill="1" applyBorder="1" applyAlignment="1" applyProtection="1">
      <alignment horizontal="left" wrapText="1" indent="1"/>
      <protection locked="0"/>
    </xf>
    <xf numFmtId="0" fontId="0" fillId="6" borderId="27" xfId="0" applyFill="1" applyBorder="1" applyAlignment="1" applyProtection="1">
      <alignment horizontal="left" wrapText="1" indent="1"/>
      <protection locked="0"/>
    </xf>
    <xf numFmtId="0" fontId="0" fillId="9" borderId="27" xfId="0" applyFill="1" applyBorder="1" applyAlignment="1" applyProtection="1">
      <alignment horizontal="left" wrapText="1" indent="1"/>
      <protection locked="0"/>
    </xf>
    <xf numFmtId="0" fontId="0" fillId="10" borderId="27" xfId="0" applyFill="1" applyBorder="1" applyAlignment="1" applyProtection="1">
      <alignment horizontal="left" wrapText="1" indent="1"/>
      <protection locked="0"/>
    </xf>
    <xf numFmtId="0" fontId="0" fillId="0" borderId="0" xfId="0" applyAlignment="1">
      <alignment horizontal="center"/>
    </xf>
    <xf numFmtId="0" fontId="0" fillId="5" borderId="200" xfId="0" applyFont="1" applyFill="1" applyBorder="1" applyAlignment="1" applyProtection="1">
      <alignment horizontal="center" vertical="center"/>
      <protection locked="0"/>
    </xf>
    <xf numFmtId="0" fontId="0" fillId="5" borderId="201" xfId="0" applyFont="1" applyFill="1" applyBorder="1" applyAlignment="1" applyProtection="1">
      <alignment horizontal="center" vertical="center"/>
      <protection locked="0"/>
    </xf>
    <xf numFmtId="0" fontId="0" fillId="5" borderId="202" xfId="0" applyFont="1" applyFill="1" applyBorder="1" applyAlignment="1" applyProtection="1">
      <alignment horizontal="center" vertical="center"/>
      <protection locked="0"/>
    </xf>
    <xf numFmtId="0" fontId="43" fillId="0" borderId="0" xfId="0" applyNumberFormat="1" applyFont="1" applyAlignment="1" applyProtection="1">
      <alignment vertical="center" wrapText="1"/>
    </xf>
    <xf numFmtId="0" fontId="26" fillId="0" borderId="0" xfId="0" applyFont="1" applyAlignment="1">
      <alignment horizontal="center"/>
    </xf>
    <xf numFmtId="0" fontId="10" fillId="0" borderId="203" xfId="0" applyFont="1" applyBorder="1"/>
    <xf numFmtId="0" fontId="26" fillId="0" borderId="204" xfId="0" applyFont="1" applyBorder="1" applyAlignment="1">
      <alignment horizontal="center"/>
    </xf>
    <xf numFmtId="0" fontId="10" fillId="0" borderId="204" xfId="0" applyFont="1" applyBorder="1"/>
    <xf numFmtId="0" fontId="10" fillId="0" borderId="205" xfId="0" applyFont="1" applyBorder="1"/>
    <xf numFmtId="0" fontId="0" fillId="0" borderId="206" xfId="0" applyFill="1" applyBorder="1" applyAlignment="1">
      <alignment horizontal="center"/>
    </xf>
    <xf numFmtId="0" fontId="0" fillId="0" borderId="207" xfId="0" applyFill="1" applyBorder="1" applyAlignment="1">
      <alignment horizontal="left" indent="1"/>
    </xf>
    <xf numFmtId="0" fontId="0" fillId="0" borderId="208" xfId="0" applyFill="1" applyBorder="1" applyAlignment="1">
      <alignment horizontal="center"/>
    </xf>
    <xf numFmtId="0" fontId="0" fillId="0" borderId="209" xfId="0" applyFill="1" applyBorder="1" applyAlignment="1">
      <alignment horizontal="left" indent="1"/>
    </xf>
    <xf numFmtId="0" fontId="0" fillId="0" borderId="210" xfId="0" applyFill="1" applyBorder="1" applyAlignment="1">
      <alignment horizontal="center"/>
    </xf>
    <xf numFmtId="0" fontId="0" fillId="0" borderId="211" xfId="0" applyFill="1" applyBorder="1" applyAlignment="1">
      <alignment horizontal="left" indent="1"/>
    </xf>
    <xf numFmtId="0" fontId="0" fillId="0" borderId="212" xfId="0" applyBorder="1" applyAlignment="1">
      <alignment horizontal="center"/>
    </xf>
    <xf numFmtId="0" fontId="0" fillId="0" borderId="213" xfId="0" applyBorder="1" applyAlignment="1">
      <alignment horizontal="center"/>
    </xf>
    <xf numFmtId="0" fontId="0" fillId="0" borderId="213" xfId="0" applyBorder="1" applyAlignment="1">
      <alignment horizontal="left" indent="1"/>
    </xf>
    <xf numFmtId="0" fontId="0" fillId="0" borderId="207" xfId="0" applyBorder="1" applyAlignment="1">
      <alignment horizontal="center"/>
    </xf>
    <xf numFmtId="0" fontId="0" fillId="0" borderId="214" xfId="0" applyBorder="1" applyAlignment="1">
      <alignment horizontal="center"/>
    </xf>
    <xf numFmtId="0" fontId="0" fillId="0" borderId="215" xfId="0" applyBorder="1" applyAlignment="1">
      <alignment horizontal="center"/>
    </xf>
    <xf numFmtId="0" fontId="0" fillId="0" borderId="215" xfId="0" applyBorder="1" applyAlignment="1">
      <alignment horizontal="left" indent="1"/>
    </xf>
    <xf numFmtId="0" fontId="0" fillId="0" borderId="209" xfId="0" applyBorder="1" applyAlignment="1">
      <alignment horizontal="center"/>
    </xf>
    <xf numFmtId="0" fontId="0" fillId="0" borderId="216" xfId="0" applyBorder="1" applyAlignment="1">
      <alignment horizontal="center"/>
    </xf>
    <xf numFmtId="0" fontId="0" fillId="0" borderId="217" xfId="0" applyBorder="1" applyAlignment="1">
      <alignment horizontal="center"/>
    </xf>
    <xf numFmtId="0" fontId="0" fillId="0" borderId="217" xfId="0" applyBorder="1" applyAlignment="1">
      <alignment horizontal="left" indent="1"/>
    </xf>
    <xf numFmtId="0" fontId="0" fillId="0" borderId="211" xfId="0" applyBorder="1" applyAlignment="1">
      <alignment horizontal="center"/>
    </xf>
    <xf numFmtId="0" fontId="15" fillId="14" borderId="9" xfId="0" applyFont="1" applyFill="1" applyBorder="1" applyAlignment="1" applyProtection="1"/>
    <xf numFmtId="0" fontId="15" fillId="14" borderId="10" xfId="0" applyFont="1" applyFill="1" applyBorder="1" applyAlignment="1" applyProtection="1"/>
    <xf numFmtId="0" fontId="15" fillId="19" borderId="9" xfId="0" applyFont="1" applyFill="1" applyBorder="1" applyAlignment="1" applyProtection="1"/>
    <xf numFmtId="0" fontId="15" fillId="19" borderId="10" xfId="0" applyFont="1" applyFill="1" applyBorder="1" applyAlignment="1" applyProtection="1"/>
    <xf numFmtId="0" fontId="15" fillId="19" borderId="9" xfId="0" quotePrefix="1" applyFont="1" applyFill="1" applyBorder="1" applyAlignment="1" applyProtection="1"/>
    <xf numFmtId="0" fontId="0" fillId="2" borderId="187" xfId="0" quotePrefix="1" applyFill="1" applyBorder="1" applyAlignment="1" applyProtection="1">
      <alignment horizontal="left" indent="1"/>
    </xf>
    <xf numFmtId="0" fontId="0" fillId="2" borderId="189" xfId="0" quotePrefix="1" applyFill="1" applyBorder="1" applyAlignment="1" applyProtection="1">
      <alignment horizontal="left" indent="1"/>
    </xf>
    <xf numFmtId="0" fontId="0" fillId="2" borderId="197" xfId="0" quotePrefix="1" applyFill="1" applyBorder="1" applyAlignment="1" applyProtection="1">
      <alignment horizontal="left" indent="1"/>
    </xf>
    <xf numFmtId="0" fontId="0" fillId="2" borderId="187" xfId="0" quotePrefix="1" applyNumberFormat="1" applyFill="1" applyBorder="1" applyAlignment="1" applyProtection="1">
      <alignment horizontal="left" indent="1"/>
    </xf>
    <xf numFmtId="0" fontId="55" fillId="0" borderId="0" xfId="0" applyFont="1" applyAlignment="1" applyProtection="1"/>
    <xf numFmtId="0" fontId="0" fillId="0" borderId="0" xfId="0" applyBorder="1" applyAlignment="1">
      <alignment horizontal="left" wrapText="1" indent="1"/>
    </xf>
    <xf numFmtId="0" fontId="78" fillId="0" borderId="0" xfId="0" applyFont="1" applyAlignment="1" applyProtection="1">
      <alignment horizontal="center"/>
    </xf>
    <xf numFmtId="0" fontId="22" fillId="0" borderId="185" xfId="0" applyFont="1" applyBorder="1" applyAlignment="1" applyProtection="1">
      <alignment horizontal="center" vertical="center" wrapText="1"/>
    </xf>
    <xf numFmtId="0" fontId="0" fillId="16" borderId="105" xfId="0" applyFill="1" applyBorder="1" applyAlignment="1" applyProtection="1">
      <alignment horizontal="left" wrapText="1" indent="1"/>
      <protection locked="0"/>
    </xf>
    <xf numFmtId="0" fontId="0" fillId="16" borderId="107" xfId="0" applyFill="1" applyBorder="1" applyAlignment="1" applyProtection="1">
      <alignment horizontal="left" wrapText="1" indent="1"/>
      <protection locked="0"/>
    </xf>
    <xf numFmtId="0" fontId="0" fillId="0" borderId="0" xfId="0" applyAlignment="1">
      <alignment horizontal="left" wrapText="1" indent="1"/>
    </xf>
    <xf numFmtId="0" fontId="0" fillId="0" borderId="76" xfId="0" applyBorder="1" applyAlignment="1">
      <alignment horizontal="left" wrapText="1" indent="1"/>
    </xf>
    <xf numFmtId="0" fontId="0" fillId="0" borderId="22" xfId="0" applyFill="1" applyBorder="1" applyAlignment="1" applyProtection="1">
      <alignment horizontal="left" wrapText="1" indent="1"/>
    </xf>
    <xf numFmtId="0" fontId="0" fillId="0" borderId="24" xfId="0" applyBorder="1" applyAlignment="1">
      <alignment horizontal="left" wrapText="1" indent="1"/>
    </xf>
    <xf numFmtId="0" fontId="0" fillId="16" borderId="105" xfId="0" applyFill="1" applyBorder="1" applyAlignment="1" applyProtection="1">
      <alignment horizontal="left" vertical="top" wrapText="1" indent="1"/>
      <protection locked="0"/>
    </xf>
    <xf numFmtId="0" fontId="0" fillId="16" borderId="105" xfId="0" applyFill="1" applyBorder="1" applyAlignment="1" applyProtection="1">
      <alignment horizontal="left" vertical="center" wrapText="1" indent="1"/>
      <protection locked="0"/>
    </xf>
    <xf numFmtId="0" fontId="0" fillId="16" borderId="106" xfId="0" applyFill="1" applyBorder="1" applyAlignment="1" applyProtection="1">
      <alignment horizontal="left" wrapText="1" indent="1"/>
      <protection locked="0"/>
    </xf>
    <xf numFmtId="0" fontId="0" fillId="16" borderId="106" xfId="0" applyFill="1" applyBorder="1" applyAlignment="1" applyProtection="1">
      <alignment horizontal="left" vertical="top" wrapText="1" indent="1"/>
      <protection locked="0"/>
    </xf>
    <xf numFmtId="0" fontId="4" fillId="0" borderId="218" xfId="0" applyFont="1" applyBorder="1" applyAlignment="1" applyProtection="1">
      <alignment horizontal="center" vertical="center"/>
    </xf>
    <xf numFmtId="0" fontId="22" fillId="0" borderId="219" xfId="0" applyFont="1" applyBorder="1" applyAlignment="1" applyProtection="1">
      <alignment horizontal="center" vertical="center" wrapText="1"/>
    </xf>
    <xf numFmtId="0" fontId="22" fillId="0" borderId="220" xfId="0" applyFont="1" applyBorder="1" applyAlignment="1" applyProtection="1">
      <alignment horizontal="center" vertical="center" wrapText="1"/>
    </xf>
    <xf numFmtId="0" fontId="0" fillId="0" borderId="112" xfId="0" applyFill="1" applyBorder="1" applyAlignment="1" applyProtection="1">
      <alignment horizontal="center"/>
    </xf>
    <xf numFmtId="0" fontId="0" fillId="0" borderId="221" xfId="0" applyFill="1" applyBorder="1" applyAlignment="1" applyProtection="1">
      <alignment horizontal="center"/>
    </xf>
    <xf numFmtId="0" fontId="80" fillId="7" borderId="190" xfId="0" applyFont="1" applyFill="1" applyBorder="1" applyAlignment="1" applyProtection="1">
      <alignment horizontal="left" indent="1"/>
    </xf>
    <xf numFmtId="170" fontId="0" fillId="7" borderId="105" xfId="0" applyNumberFormat="1" applyFill="1" applyBorder="1" applyAlignment="1" applyProtection="1">
      <alignment horizontal="left" indent="1"/>
    </xf>
    <xf numFmtId="0" fontId="0" fillId="7" borderId="105" xfId="0" applyFill="1" applyBorder="1" applyAlignment="1" applyProtection="1">
      <alignment horizontal="left" indent="1"/>
    </xf>
    <xf numFmtId="0" fontId="4" fillId="7" borderId="105" xfId="0" applyFont="1" applyFill="1" applyBorder="1" applyProtection="1"/>
    <xf numFmtId="0" fontId="4" fillId="7" borderId="105" xfId="0" applyFont="1" applyFill="1" applyBorder="1" applyAlignment="1" applyProtection="1">
      <alignment horizontal="center"/>
    </xf>
    <xf numFmtId="0" fontId="4" fillId="7" borderId="222" xfId="0" applyFont="1" applyFill="1" applyBorder="1" applyAlignment="1" applyProtection="1">
      <alignment horizontal="center"/>
    </xf>
    <xf numFmtId="0" fontId="0" fillId="7" borderId="222" xfId="0" applyFill="1" applyBorder="1"/>
    <xf numFmtId="0" fontId="0" fillId="7" borderId="223" xfId="0" applyFill="1" applyBorder="1"/>
    <xf numFmtId="0" fontId="22" fillId="0" borderId="21" xfId="0" applyFont="1" applyBorder="1" applyAlignment="1">
      <alignment horizontal="center"/>
    </xf>
    <xf numFmtId="0" fontId="0" fillId="2" borderId="224" xfId="0" applyFill="1" applyBorder="1" applyAlignment="1" applyProtection="1">
      <alignment horizontal="center"/>
      <protection locked="0"/>
    </xf>
    <xf numFmtId="0" fontId="0" fillId="2" borderId="225" xfId="0" applyFill="1" applyBorder="1" applyAlignment="1" applyProtection="1">
      <alignment horizontal="center"/>
      <protection locked="0"/>
    </xf>
    <xf numFmtId="165" fontId="0" fillId="6" borderId="225" xfId="0" applyNumberFormat="1" applyFill="1" applyBorder="1" applyAlignment="1" applyProtection="1">
      <alignment horizontal="right" indent="2"/>
      <protection locked="0"/>
    </xf>
    <xf numFmtId="165" fontId="0" fillId="0" borderId="226" xfId="0" applyNumberFormat="1" applyBorder="1" applyAlignment="1">
      <alignment horizontal="right" indent="2"/>
    </xf>
    <xf numFmtId="0" fontId="0" fillId="6" borderId="225" xfId="0" applyNumberFormat="1" applyFill="1" applyBorder="1" applyAlignment="1" applyProtection="1">
      <alignment horizontal="center" vertical="center"/>
      <protection locked="0"/>
    </xf>
    <xf numFmtId="0" fontId="0" fillId="0" borderId="225" xfId="0" applyFill="1" applyBorder="1" applyAlignment="1" applyProtection="1">
      <alignment horizontal="left" indent="1"/>
    </xf>
    <xf numFmtId="0" fontId="0" fillId="0" borderId="225" xfId="0" applyFill="1" applyBorder="1" applyAlignment="1">
      <alignment horizontal="left" indent="1"/>
    </xf>
    <xf numFmtId="0" fontId="0" fillId="0" borderId="225" xfId="0" applyFill="1" applyBorder="1" applyAlignment="1">
      <alignment horizontal="center" vertical="center"/>
    </xf>
    <xf numFmtId="0" fontId="0" fillId="0" borderId="227" xfId="0" applyFill="1" applyBorder="1" applyAlignment="1">
      <alignment horizontal="left" indent="1"/>
    </xf>
    <xf numFmtId="0" fontId="3" fillId="0" borderId="0" xfId="0" applyFont="1" applyFill="1" applyBorder="1" applyAlignment="1" applyProtection="1">
      <alignment vertical="center"/>
    </xf>
    <xf numFmtId="0" fontId="83" fillId="0" borderId="0" xfId="2" applyNumberFormat="1" applyFont="1" applyFill="1" applyAlignment="1" applyProtection="1">
      <alignment vertical="center"/>
      <protection hidden="1"/>
    </xf>
    <xf numFmtId="0" fontId="85" fillId="0" borderId="0" xfId="2" applyNumberFormat="1" applyFont="1" applyFill="1" applyAlignment="1" applyProtection="1">
      <alignment horizontal="center" vertical="center"/>
      <protection hidden="1"/>
    </xf>
    <xf numFmtId="0" fontId="83" fillId="0" borderId="0" xfId="2" applyNumberFormat="1" applyFont="1" applyFill="1" applyBorder="1" applyAlignment="1" applyProtection="1">
      <alignment horizontal="center" vertical="center"/>
      <protection hidden="1"/>
    </xf>
    <xf numFmtId="0" fontId="83" fillId="0" borderId="0" xfId="2" applyNumberFormat="1" applyFont="1" applyFill="1" applyAlignment="1" applyProtection="1">
      <alignment horizontal="center" vertical="center"/>
      <protection hidden="1"/>
    </xf>
    <xf numFmtId="0" fontId="86" fillId="0" borderId="0" xfId="2" applyNumberFormat="1" applyFont="1" applyFill="1" applyAlignment="1" applyProtection="1">
      <alignment horizontal="center" vertical="center"/>
      <protection hidden="1"/>
    </xf>
    <xf numFmtId="0" fontId="87" fillId="0" borderId="0" xfId="2" applyNumberFormat="1" applyFont="1" applyFill="1" applyAlignment="1" applyProtection="1">
      <alignment horizontal="center" vertical="center"/>
      <protection hidden="1"/>
    </xf>
    <xf numFmtId="0" fontId="85" fillId="0" borderId="0" xfId="2" applyNumberFormat="1" applyFont="1" applyFill="1" applyBorder="1" applyAlignment="1" applyProtection="1">
      <alignment horizontal="center" vertical="center"/>
      <protection hidden="1"/>
    </xf>
    <xf numFmtId="0" fontId="87" fillId="0" borderId="0" xfId="2" applyNumberFormat="1" applyFont="1" applyFill="1" applyAlignment="1" applyProtection="1">
      <alignment vertical="center"/>
      <protection hidden="1"/>
    </xf>
    <xf numFmtId="0" fontId="88" fillId="0" borderId="21" xfId="2" applyNumberFormat="1" applyFont="1" applyFill="1" applyBorder="1" applyAlignment="1" applyProtection="1">
      <alignment horizontal="center" vertical="center"/>
      <protection hidden="1"/>
    </xf>
    <xf numFmtId="0" fontId="89" fillId="0" borderId="21" xfId="2" applyNumberFormat="1" applyFont="1" applyFill="1" applyBorder="1" applyAlignment="1" applyProtection="1">
      <alignment horizontal="center" vertical="center"/>
      <protection hidden="1"/>
    </xf>
    <xf numFmtId="0" fontId="89" fillId="0" borderId="230" xfId="2" applyNumberFormat="1" applyFont="1" applyFill="1" applyBorder="1" applyAlignment="1" applyProtection="1">
      <alignment horizontal="center" vertical="center"/>
      <protection hidden="1"/>
    </xf>
    <xf numFmtId="0" fontId="87" fillId="0" borderId="0" xfId="2" applyNumberFormat="1" applyFont="1" applyFill="1" applyBorder="1" applyAlignment="1" applyProtection="1">
      <alignment horizontal="center" vertical="center"/>
      <protection hidden="1"/>
    </xf>
    <xf numFmtId="3" fontId="93" fillId="0" borderId="231" xfId="2" applyNumberFormat="1" applyFont="1" applyFill="1" applyBorder="1" applyAlignment="1" applyProtection="1">
      <alignment horizontal="center" vertical="center"/>
      <protection hidden="1"/>
    </xf>
    <xf numFmtId="171" fontId="94" fillId="0" borderId="0" xfId="2" applyNumberFormat="1" applyFont="1" applyFill="1" applyBorder="1" applyAlignment="1" applyProtection="1">
      <alignment horizontal="center" vertical="center"/>
      <protection hidden="1"/>
    </xf>
    <xf numFmtId="0" fontId="89" fillId="0" borderId="0" xfId="2" applyNumberFormat="1" applyFont="1" applyFill="1" applyAlignment="1" applyProtection="1">
      <alignment horizontal="center" vertical="center"/>
      <protection hidden="1"/>
    </xf>
    <xf numFmtId="0" fontId="83" fillId="0" borderId="232" xfId="2" applyNumberFormat="1" applyFont="1" applyFill="1" applyBorder="1" applyAlignment="1" applyProtection="1">
      <alignment horizontal="center" vertical="center"/>
      <protection hidden="1"/>
    </xf>
    <xf numFmtId="3" fontId="89" fillId="0" borderId="233" xfId="2" applyNumberFormat="1" applyFont="1" applyFill="1" applyBorder="1" applyAlignment="1" applyProtection="1">
      <alignment horizontal="center" vertical="center"/>
      <protection hidden="1"/>
    </xf>
    <xf numFmtId="0" fontId="83" fillId="32" borderId="121" xfId="2" applyNumberFormat="1" applyFont="1" applyFill="1" applyBorder="1" applyAlignment="1" applyProtection="1">
      <alignment horizontal="center" vertical="center"/>
      <protection hidden="1"/>
    </xf>
    <xf numFmtId="3" fontId="89" fillId="0" borderId="0" xfId="2" applyNumberFormat="1" applyFont="1" applyFill="1" applyBorder="1" applyAlignment="1" applyProtection="1">
      <alignment horizontal="center" vertical="center"/>
      <protection hidden="1"/>
    </xf>
    <xf numFmtId="3" fontId="89" fillId="0" borderId="234" xfId="2" applyNumberFormat="1" applyFont="1" applyFill="1" applyBorder="1" applyAlignment="1" applyProtection="1">
      <alignment horizontal="center" vertical="center"/>
      <protection hidden="1"/>
    </xf>
    <xf numFmtId="0" fontId="93" fillId="0" borderId="235" xfId="2" applyNumberFormat="1" applyFont="1" applyFill="1" applyBorder="1" applyAlignment="1" applyProtection="1">
      <alignment horizontal="center" vertical="center"/>
      <protection hidden="1"/>
    </xf>
    <xf numFmtId="0" fontId="83" fillId="0" borderId="236" xfId="2" applyNumberFormat="1" applyFont="1" applyFill="1" applyBorder="1" applyAlignment="1" applyProtection="1">
      <alignment horizontal="center" vertical="center"/>
      <protection hidden="1"/>
    </xf>
    <xf numFmtId="3" fontId="89" fillId="0" borderId="121" xfId="2" applyNumberFormat="1" applyFont="1" applyFill="1" applyBorder="1" applyAlignment="1" applyProtection="1">
      <alignment horizontal="center" vertical="center"/>
      <protection hidden="1"/>
    </xf>
    <xf numFmtId="0" fontId="93" fillId="0" borderId="237" xfId="2" applyNumberFormat="1" applyFont="1" applyFill="1" applyBorder="1" applyAlignment="1" applyProtection="1">
      <alignment horizontal="center" vertical="center"/>
      <protection hidden="1"/>
    </xf>
    <xf numFmtId="0" fontId="94" fillId="0" borderId="0" xfId="2" applyNumberFormat="1" applyFont="1" applyFill="1" applyBorder="1" applyAlignment="1" applyProtection="1">
      <alignment horizontal="center" vertical="center"/>
      <protection hidden="1"/>
    </xf>
    <xf numFmtId="0" fontId="83" fillId="0" borderId="0" xfId="2" applyNumberFormat="1" applyFont="1" applyFill="1" applyBorder="1" applyAlignment="1" applyProtection="1">
      <alignment vertical="center"/>
      <protection hidden="1"/>
    </xf>
    <xf numFmtId="0" fontId="94" fillId="0" borderId="0" xfId="2" applyNumberFormat="1" applyFont="1" applyFill="1" applyAlignment="1" applyProtection="1">
      <alignment vertical="center"/>
      <protection hidden="1"/>
    </xf>
    <xf numFmtId="0" fontId="94" fillId="0" borderId="0" xfId="2" applyNumberFormat="1" applyFont="1" applyFill="1" applyBorder="1" applyAlignment="1" applyProtection="1">
      <alignment vertical="center"/>
      <protection hidden="1"/>
    </xf>
    <xf numFmtId="0" fontId="87" fillId="0" borderId="0" xfId="2" applyNumberFormat="1" applyFont="1" applyFill="1" applyBorder="1" applyAlignment="1" applyProtection="1">
      <alignment vertical="center"/>
      <protection hidden="1"/>
    </xf>
    <xf numFmtId="0" fontId="92" fillId="0" borderId="0" xfId="2" applyNumberFormat="1" applyFont="1" applyFill="1" applyBorder="1" applyAlignment="1" applyProtection="1">
      <alignment horizontal="center" vertical="center"/>
      <protection hidden="1"/>
    </xf>
    <xf numFmtId="0" fontId="94" fillId="0" borderId="238" xfId="2" applyNumberFormat="1" applyFont="1" applyFill="1" applyBorder="1" applyAlignment="1" applyProtection="1">
      <alignment vertical="center"/>
      <protection hidden="1"/>
    </xf>
    <xf numFmtId="0" fontId="94" fillId="0" borderId="239" xfId="2" applyNumberFormat="1" applyFont="1" applyFill="1" applyBorder="1" applyAlignment="1" applyProtection="1">
      <alignment vertical="center"/>
      <protection hidden="1"/>
    </xf>
    <xf numFmtId="0" fontId="94" fillId="0" borderId="240" xfId="2" applyNumberFormat="1" applyFont="1" applyFill="1" applyBorder="1" applyAlignment="1" applyProtection="1">
      <alignment vertical="center"/>
      <protection hidden="1"/>
    </xf>
    <xf numFmtId="0" fontId="94" fillId="0" borderId="0" xfId="2" applyNumberFormat="1" applyFont="1" applyFill="1" applyAlignment="1" applyProtection="1">
      <alignment horizontal="center" vertical="center"/>
      <protection hidden="1"/>
    </xf>
    <xf numFmtId="0" fontId="83" fillId="0" borderId="241" xfId="2" applyNumberFormat="1" applyFont="1" applyFill="1" applyBorder="1" applyAlignment="1" applyProtection="1">
      <alignment horizontal="center" vertical="center"/>
      <protection hidden="1"/>
    </xf>
    <xf numFmtId="0" fontId="83" fillId="0" borderId="242" xfId="2" applyNumberFormat="1" applyFont="1" applyFill="1" applyBorder="1" applyAlignment="1" applyProtection="1">
      <alignment horizontal="center" vertical="center"/>
      <protection hidden="1"/>
    </xf>
    <xf numFmtId="0" fontId="94" fillId="0" borderId="241" xfId="2" applyNumberFormat="1" applyFont="1" applyFill="1" applyBorder="1" applyAlignment="1" applyProtection="1">
      <alignment horizontal="center" vertical="center"/>
      <protection hidden="1"/>
    </xf>
    <xf numFmtId="3" fontId="89" fillId="0" borderId="242" xfId="2" applyNumberFormat="1" applyFont="1" applyFill="1" applyBorder="1" applyAlignment="1" applyProtection="1">
      <alignment horizontal="center" vertical="center"/>
      <protection hidden="1"/>
    </xf>
    <xf numFmtId="0" fontId="94" fillId="0" borderId="243" xfId="2" applyNumberFormat="1" applyFont="1" applyFill="1" applyBorder="1" applyAlignment="1" applyProtection="1">
      <alignment vertical="center"/>
      <protection hidden="1"/>
    </xf>
    <xf numFmtId="0" fontId="94" fillId="0" borderId="109" xfId="2" applyNumberFormat="1" applyFont="1" applyFill="1" applyBorder="1" applyAlignment="1" applyProtection="1">
      <alignment vertical="center"/>
      <protection hidden="1"/>
    </xf>
    <xf numFmtId="0" fontId="94" fillId="0" borderId="244" xfId="2" applyNumberFormat="1" applyFont="1" applyFill="1" applyBorder="1" applyAlignment="1" applyProtection="1">
      <alignment vertical="center"/>
      <protection hidden="1"/>
    </xf>
    <xf numFmtId="0" fontId="94" fillId="0" borderId="168" xfId="2" applyNumberFormat="1" applyFont="1" applyFill="1" applyBorder="1" applyAlignment="1" applyProtection="1">
      <alignment horizontal="center" vertical="center"/>
      <protection hidden="1"/>
    </xf>
    <xf numFmtId="0" fontId="94" fillId="0" borderId="21" xfId="2" applyNumberFormat="1" applyFont="1" applyFill="1" applyBorder="1" applyAlignment="1" applyProtection="1">
      <alignment horizontal="center" vertical="center"/>
      <protection hidden="1"/>
    </xf>
    <xf numFmtId="0" fontId="94" fillId="0" borderId="245" xfId="2" applyNumberFormat="1" applyFont="1" applyFill="1" applyBorder="1" applyAlignment="1" applyProtection="1">
      <alignment horizontal="center" vertical="center"/>
      <protection hidden="1"/>
    </xf>
    <xf numFmtId="0" fontId="94" fillId="0" borderId="246" xfId="2" applyNumberFormat="1" applyFont="1" applyFill="1" applyBorder="1" applyAlignment="1" applyProtection="1">
      <alignment horizontal="center" vertical="center"/>
      <protection hidden="1"/>
    </xf>
    <xf numFmtId="0" fontId="94" fillId="0" borderId="247" xfId="2" applyNumberFormat="1" applyFont="1" applyFill="1" applyBorder="1" applyAlignment="1" applyProtection="1">
      <alignment horizontal="center" vertical="center"/>
      <protection hidden="1"/>
    </xf>
    <xf numFmtId="0" fontId="94" fillId="3" borderId="243" xfId="2" applyNumberFormat="1" applyFont="1" applyFill="1" applyBorder="1" applyAlignment="1" applyProtection="1">
      <alignment horizontal="center" vertical="center" shrinkToFit="1"/>
      <protection hidden="1"/>
    </xf>
    <xf numFmtId="0" fontId="94" fillId="0" borderId="168" xfId="2" applyNumberFormat="1" applyFont="1" applyFill="1" applyBorder="1" applyAlignment="1" applyProtection="1">
      <alignment horizontal="center" vertical="center" shrinkToFit="1"/>
      <protection hidden="1"/>
    </xf>
    <xf numFmtId="0" fontId="94" fillId="0" borderId="245" xfId="2" applyNumberFormat="1" applyFont="1" applyFill="1" applyBorder="1" applyAlignment="1" applyProtection="1">
      <alignment horizontal="center" vertical="center" shrinkToFit="1"/>
      <protection hidden="1"/>
    </xf>
    <xf numFmtId="0" fontId="94" fillId="0" borderId="109" xfId="2" applyNumberFormat="1" applyFont="1" applyFill="1" applyBorder="1" applyAlignment="1" applyProtection="1">
      <alignment horizontal="center" vertical="center" shrinkToFit="1"/>
      <protection hidden="1"/>
    </xf>
    <xf numFmtId="0" fontId="94" fillId="3" borderId="0" xfId="2" applyNumberFormat="1" applyFont="1" applyFill="1" applyBorder="1" applyAlignment="1" applyProtection="1">
      <alignment horizontal="center" vertical="center" shrinkToFit="1"/>
      <protection hidden="1"/>
    </xf>
    <xf numFmtId="0" fontId="94" fillId="0" borderId="0" xfId="2" applyNumberFormat="1" applyFont="1" applyFill="1" applyBorder="1" applyAlignment="1" applyProtection="1">
      <alignment horizontal="center" vertical="center" shrinkToFit="1"/>
      <protection hidden="1"/>
    </xf>
    <xf numFmtId="0" fontId="94" fillId="0" borderId="246" xfId="2" applyNumberFormat="1" applyFont="1" applyFill="1" applyBorder="1" applyAlignment="1" applyProtection="1">
      <alignment horizontal="center" vertical="center" shrinkToFit="1"/>
      <protection hidden="1"/>
    </xf>
    <xf numFmtId="0" fontId="94" fillId="0" borderId="244" xfId="2" applyNumberFormat="1" applyFont="1" applyFill="1" applyBorder="1" applyAlignment="1" applyProtection="1">
      <alignment horizontal="center" vertical="center" shrinkToFit="1"/>
      <protection hidden="1"/>
    </xf>
    <xf numFmtId="0" fontId="94" fillId="0" borderId="21" xfId="2" applyNumberFormat="1" applyFont="1" applyFill="1" applyBorder="1" applyAlignment="1" applyProtection="1">
      <alignment horizontal="center" vertical="center" shrinkToFit="1"/>
      <protection hidden="1"/>
    </xf>
    <xf numFmtId="0" fontId="94" fillId="3" borderId="247" xfId="2" applyNumberFormat="1" applyFont="1" applyFill="1" applyBorder="1" applyAlignment="1" applyProtection="1">
      <alignment horizontal="center" vertical="center" shrinkToFit="1"/>
      <protection hidden="1"/>
    </xf>
    <xf numFmtId="0" fontId="94" fillId="0" borderId="236" xfId="2" applyNumberFormat="1" applyFont="1" applyFill="1" applyBorder="1" applyAlignment="1" applyProtection="1">
      <alignment horizontal="center" vertical="center"/>
      <protection hidden="1"/>
    </xf>
    <xf numFmtId="0" fontId="95" fillId="0" borderId="0" xfId="2" applyNumberFormat="1" applyFont="1" applyFill="1" applyAlignment="1" applyProtection="1">
      <alignment horizontal="center" vertical="center"/>
      <protection hidden="1"/>
    </xf>
    <xf numFmtId="0" fontId="96" fillId="0" borderId="0" xfId="2" applyNumberFormat="1" applyFont="1" applyFill="1" applyBorder="1" applyAlignment="1">
      <alignment horizontal="center" vertical="center"/>
    </xf>
    <xf numFmtId="0" fontId="84" fillId="0" borderId="238" xfId="2" applyNumberFormat="1" applyFont="1" applyFill="1" applyBorder="1" applyAlignment="1">
      <alignment horizontal="left" vertical="center"/>
    </xf>
    <xf numFmtId="0" fontId="84" fillId="0" borderId="239" xfId="2" applyNumberFormat="1" applyFont="1" applyFill="1" applyBorder="1" applyAlignment="1">
      <alignment horizontal="left" vertical="center"/>
    </xf>
    <xf numFmtId="0" fontId="94" fillId="0" borderId="240" xfId="2" applyNumberFormat="1" applyFont="1" applyFill="1" applyBorder="1" applyAlignment="1" applyProtection="1">
      <alignment horizontal="left" vertical="center"/>
      <protection hidden="1"/>
    </xf>
    <xf numFmtId="0" fontId="84" fillId="0" borderId="0" xfId="2" applyNumberFormat="1" applyFont="1" applyFill="1" applyAlignment="1" applyProtection="1">
      <alignment horizontal="center" vertical="center"/>
      <protection hidden="1"/>
    </xf>
    <xf numFmtId="0" fontId="83" fillId="0" borderId="232" xfId="2" applyNumberFormat="1" applyFont="1" applyFill="1" applyBorder="1" applyAlignment="1" applyProtection="1">
      <alignment horizontal="left" vertical="center"/>
      <protection hidden="1"/>
    </xf>
    <xf numFmtId="0" fontId="83" fillId="3" borderId="243" xfId="2" applyNumberFormat="1" applyFont="1" applyFill="1" applyBorder="1" applyAlignment="1" applyProtection="1">
      <alignment horizontal="left" vertical="center"/>
      <protection hidden="1"/>
    </xf>
    <xf numFmtId="0" fontId="83" fillId="0" borderId="168" xfId="2" applyNumberFormat="1" applyFont="1" applyFill="1" applyBorder="1" applyAlignment="1" applyProtection="1">
      <alignment horizontal="center" vertical="center"/>
      <protection hidden="1"/>
    </xf>
    <xf numFmtId="0" fontId="83" fillId="0" borderId="109" xfId="2" applyNumberFormat="1" applyFont="1" applyFill="1" applyBorder="1" applyAlignment="1" applyProtection="1">
      <alignment horizontal="left" vertical="center"/>
      <protection hidden="1"/>
    </xf>
    <xf numFmtId="0" fontId="83" fillId="3" borderId="0" xfId="2" applyNumberFormat="1" applyFont="1" applyFill="1" applyBorder="1" applyAlignment="1" applyProtection="1">
      <alignment horizontal="center" vertical="center"/>
      <protection hidden="1"/>
    </xf>
    <xf numFmtId="0" fontId="83" fillId="0" borderId="244" xfId="2" applyNumberFormat="1" applyFont="1" applyFill="1" applyBorder="1" applyAlignment="1" applyProtection="1">
      <alignment horizontal="left" vertical="center"/>
      <protection hidden="1"/>
    </xf>
    <xf numFmtId="0" fontId="83" fillId="0" borderId="21" xfId="2" applyNumberFormat="1" applyFont="1" applyFill="1" applyBorder="1" applyAlignment="1" applyProtection="1">
      <alignment horizontal="center" vertical="center"/>
      <protection hidden="1"/>
    </xf>
    <xf numFmtId="0" fontId="83" fillId="0" borderId="250" xfId="2" applyNumberFormat="1" applyFont="1" applyFill="1" applyBorder="1" applyAlignment="1" applyProtection="1">
      <alignment horizontal="right" vertical="center"/>
      <protection hidden="1"/>
    </xf>
    <xf numFmtId="0" fontId="83" fillId="0" borderId="251" xfId="2" applyNumberFormat="1" applyFont="1" applyFill="1" applyBorder="1" applyAlignment="1" applyProtection="1">
      <alignment horizontal="center" vertical="center"/>
      <protection hidden="1"/>
    </xf>
    <xf numFmtId="0" fontId="83" fillId="0" borderId="252" xfId="2" applyNumberFormat="1" applyFont="1" applyFill="1" applyBorder="1" applyAlignment="1" applyProtection="1">
      <alignment horizontal="center" vertical="center"/>
      <protection hidden="1"/>
    </xf>
    <xf numFmtId="0" fontId="83" fillId="0" borderId="253" xfId="2" applyNumberFormat="1" applyFont="1" applyFill="1" applyBorder="1" applyAlignment="1" applyProtection="1">
      <alignment horizontal="center" vertical="center"/>
      <protection hidden="1"/>
    </xf>
    <xf numFmtId="0" fontId="83" fillId="0" borderId="254" xfId="2" applyNumberFormat="1" applyFont="1" applyFill="1" applyBorder="1" applyAlignment="1" applyProtection="1">
      <alignment horizontal="center" vertical="center"/>
      <protection hidden="1"/>
    </xf>
    <xf numFmtId="0" fontId="83" fillId="0" borderId="255" xfId="2" applyNumberFormat="1" applyFont="1" applyFill="1" applyBorder="1" applyAlignment="1" applyProtection="1">
      <alignment horizontal="center" vertical="center"/>
      <protection hidden="1"/>
    </xf>
    <xf numFmtId="0" fontId="83" fillId="0" borderId="256" xfId="2" applyNumberFormat="1" applyFont="1" applyFill="1" applyBorder="1" applyAlignment="1" applyProtection="1">
      <alignment horizontal="center" vertical="center"/>
      <protection hidden="1"/>
    </xf>
    <xf numFmtId="0" fontId="83" fillId="0" borderId="257" xfId="2" applyNumberFormat="1" applyFont="1" applyFill="1" applyBorder="1" applyAlignment="1" applyProtection="1">
      <alignment horizontal="center" vertical="center"/>
      <protection hidden="1"/>
    </xf>
    <xf numFmtId="0" fontId="83" fillId="0" borderId="253" xfId="2" applyNumberFormat="1" applyFont="1" applyFill="1" applyBorder="1" applyAlignment="1" applyProtection="1">
      <alignment vertical="center"/>
      <protection hidden="1"/>
    </xf>
    <xf numFmtId="172" fontId="94" fillId="0" borderId="257" xfId="2" applyNumberFormat="1" applyFont="1" applyFill="1" applyBorder="1" applyAlignment="1" applyProtection="1">
      <alignment horizontal="center" vertical="center"/>
      <protection hidden="1"/>
    </xf>
    <xf numFmtId="172" fontId="94" fillId="0" borderId="0" xfId="2" applyNumberFormat="1" applyFont="1" applyFill="1" applyBorder="1" applyAlignment="1" applyProtection="1">
      <alignment horizontal="center" vertical="center"/>
      <protection hidden="1"/>
    </xf>
    <xf numFmtId="0" fontId="83" fillId="0" borderId="236" xfId="2" applyNumberFormat="1" applyFont="1" applyFill="1" applyBorder="1" applyAlignment="1" applyProtection="1">
      <alignment horizontal="left" vertical="center"/>
      <protection hidden="1"/>
    </xf>
    <xf numFmtId="0" fontId="83" fillId="0" borderId="258" xfId="2" applyNumberFormat="1" applyFont="1" applyFill="1" applyBorder="1" applyAlignment="1" applyProtection="1">
      <alignment horizontal="right" vertical="center"/>
      <protection hidden="1"/>
    </xf>
    <xf numFmtId="0" fontId="83" fillId="0" borderId="259" xfId="2" applyNumberFormat="1" applyFont="1" applyFill="1" applyBorder="1" applyAlignment="1" applyProtection="1">
      <alignment horizontal="center" vertical="center"/>
      <protection hidden="1"/>
    </xf>
    <xf numFmtId="0" fontId="83" fillId="0" borderId="260" xfId="2" applyNumberFormat="1" applyFont="1" applyFill="1" applyBorder="1" applyAlignment="1" applyProtection="1">
      <alignment horizontal="center" vertical="center"/>
      <protection hidden="1"/>
    </xf>
    <xf numFmtId="0" fontId="83" fillId="0" borderId="261" xfId="2" applyNumberFormat="1" applyFont="1" applyFill="1" applyBorder="1" applyAlignment="1" applyProtection="1">
      <alignment horizontal="center" vertical="center"/>
      <protection hidden="1"/>
    </xf>
    <xf numFmtId="0" fontId="83" fillId="0" borderId="262" xfId="2" applyNumberFormat="1" applyFont="1" applyFill="1" applyBorder="1" applyAlignment="1" applyProtection="1">
      <alignment horizontal="center" vertical="center"/>
      <protection hidden="1"/>
    </xf>
    <xf numFmtId="0" fontId="83" fillId="0" borderId="263" xfId="2" applyNumberFormat="1" applyFont="1" applyFill="1" applyBorder="1" applyAlignment="1" applyProtection="1">
      <alignment horizontal="center" vertical="center"/>
      <protection hidden="1"/>
    </xf>
    <xf numFmtId="0" fontId="83" fillId="0" borderId="260" xfId="2" applyNumberFormat="1" applyFont="1" applyFill="1" applyBorder="1" applyAlignment="1" applyProtection="1">
      <alignment vertical="center"/>
      <protection hidden="1"/>
    </xf>
    <xf numFmtId="172" fontId="94" fillId="0" borderId="263" xfId="2" applyNumberFormat="1" applyFont="1" applyFill="1" applyBorder="1" applyAlignment="1" applyProtection="1">
      <alignment horizontal="center" vertical="center"/>
      <protection hidden="1"/>
    </xf>
    <xf numFmtId="0" fontId="83" fillId="0" borderId="248" xfId="2" applyNumberFormat="1" applyFont="1" applyFill="1" applyBorder="1" applyAlignment="1" applyProtection="1">
      <alignment horizontal="left" vertical="center"/>
      <protection hidden="1"/>
    </xf>
    <xf numFmtId="0" fontId="83" fillId="0" borderId="0" xfId="2" applyNumberFormat="1" applyFont="1" applyFill="1" applyBorder="1" applyAlignment="1" applyProtection="1">
      <alignment horizontal="left" vertical="center"/>
      <protection hidden="1"/>
    </xf>
    <xf numFmtId="0" fontId="83" fillId="0" borderId="264" xfId="2" applyNumberFormat="1" applyFont="1" applyFill="1" applyBorder="1" applyAlignment="1" applyProtection="1">
      <alignment horizontal="right" vertical="center"/>
      <protection hidden="1"/>
    </xf>
    <xf numFmtId="0" fontId="83" fillId="0" borderId="265" xfId="2" applyNumberFormat="1" applyFont="1" applyFill="1" applyBorder="1" applyAlignment="1" applyProtection="1">
      <alignment horizontal="center" vertical="center"/>
      <protection hidden="1"/>
    </xf>
    <xf numFmtId="0" fontId="83" fillId="0" borderId="266" xfId="2" applyNumberFormat="1" applyFont="1" applyFill="1" applyBorder="1" applyAlignment="1" applyProtection="1">
      <alignment horizontal="center" vertical="center"/>
      <protection hidden="1"/>
    </xf>
    <xf numFmtId="0" fontId="83" fillId="0" borderId="267" xfId="2" applyNumberFormat="1" applyFont="1" applyFill="1" applyBorder="1" applyAlignment="1" applyProtection="1">
      <alignment horizontal="center" vertical="center"/>
      <protection hidden="1"/>
    </xf>
    <xf numFmtId="0" fontId="83" fillId="0" borderId="268" xfId="2" applyNumberFormat="1" applyFont="1" applyFill="1" applyBorder="1" applyAlignment="1" applyProtection="1">
      <alignment horizontal="center" vertical="center"/>
      <protection hidden="1"/>
    </xf>
    <xf numFmtId="0" fontId="83" fillId="0" borderId="269" xfId="2" applyNumberFormat="1" applyFont="1" applyFill="1" applyBorder="1" applyAlignment="1" applyProtection="1">
      <alignment horizontal="center" vertical="center"/>
      <protection hidden="1"/>
    </xf>
    <xf numFmtId="0" fontId="83" fillId="0" borderId="270" xfId="2" applyNumberFormat="1" applyFont="1" applyFill="1" applyBorder="1" applyAlignment="1" applyProtection="1">
      <alignment horizontal="center" vertical="center"/>
      <protection hidden="1"/>
    </xf>
    <xf numFmtId="0" fontId="83" fillId="0" borderId="271" xfId="2" applyNumberFormat="1" applyFont="1" applyFill="1" applyBorder="1" applyAlignment="1" applyProtection="1">
      <alignment vertical="center"/>
      <protection hidden="1"/>
    </xf>
    <xf numFmtId="172" fontId="94" fillId="0" borderId="272" xfId="2" applyNumberFormat="1" applyFont="1" applyFill="1" applyBorder="1" applyAlignment="1" applyProtection="1">
      <alignment horizontal="center" vertical="center"/>
      <protection hidden="1"/>
    </xf>
    <xf numFmtId="0" fontId="83" fillId="0" borderId="273" xfId="2" applyNumberFormat="1" applyFont="1" applyFill="1" applyBorder="1" applyAlignment="1" applyProtection="1">
      <alignment horizontal="center" vertical="center"/>
      <protection hidden="1"/>
    </xf>
    <xf numFmtId="0" fontId="95" fillId="0" borderId="0" xfId="2" applyNumberFormat="1" applyFont="1" applyFill="1" applyBorder="1" applyAlignment="1" applyProtection="1">
      <alignment horizontal="center" vertical="center"/>
      <protection hidden="1"/>
    </xf>
    <xf numFmtId="0" fontId="83" fillId="0" borderId="0" xfId="2" applyNumberFormat="1" applyFont="1"/>
    <xf numFmtId="0" fontId="88" fillId="0" borderId="0" xfId="2" applyNumberFormat="1" applyFont="1" applyFill="1" applyAlignment="1" applyProtection="1">
      <alignment horizontal="center" vertical="center"/>
      <protection hidden="1"/>
    </xf>
    <xf numFmtId="0" fontId="97" fillId="0" borderId="0" xfId="2" applyNumberFormat="1" applyFont="1" applyAlignment="1">
      <alignment horizontal="center" vertical="center"/>
    </xf>
    <xf numFmtId="0" fontId="83" fillId="2" borderId="274" xfId="2" applyNumberFormat="1" applyFont="1" applyFill="1" applyBorder="1" applyAlignment="1" applyProtection="1">
      <alignment horizontal="center" vertical="center"/>
      <protection hidden="1"/>
    </xf>
    <xf numFmtId="0" fontId="83" fillId="2" borderId="275" xfId="2" applyNumberFormat="1" applyFont="1" applyFill="1" applyBorder="1" applyAlignment="1" applyProtection="1">
      <alignment horizontal="center" vertical="center"/>
      <protection hidden="1"/>
    </xf>
    <xf numFmtId="0" fontId="83" fillId="2" borderId="276" xfId="2" applyNumberFormat="1" applyFont="1" applyFill="1" applyBorder="1" applyAlignment="1" applyProtection="1">
      <alignment horizontal="center" vertical="center"/>
      <protection hidden="1"/>
    </xf>
    <xf numFmtId="0" fontId="83" fillId="2" borderId="277" xfId="2" applyNumberFormat="1" applyFont="1" applyFill="1" applyBorder="1" applyAlignment="1" applyProtection="1">
      <alignment horizontal="center" vertical="center"/>
      <protection hidden="1"/>
    </xf>
    <xf numFmtId="0" fontId="83" fillId="2" borderId="98" xfId="2" applyNumberFormat="1" applyFont="1" applyFill="1" applyBorder="1" applyAlignment="1" applyProtection="1">
      <alignment horizontal="center" vertical="center"/>
      <protection hidden="1"/>
    </xf>
    <xf numFmtId="0" fontId="83" fillId="2" borderId="278" xfId="2" applyNumberFormat="1" applyFont="1" applyFill="1" applyBorder="1" applyAlignment="1" applyProtection="1">
      <alignment horizontal="center" vertical="center"/>
      <protection hidden="1"/>
    </xf>
    <xf numFmtId="0" fontId="83" fillId="2" borderId="279" xfId="2" applyNumberFormat="1" applyFont="1" applyFill="1" applyBorder="1" applyAlignment="1" applyProtection="1">
      <alignment horizontal="center" vertical="center"/>
      <protection hidden="1"/>
    </xf>
    <xf numFmtId="0" fontId="83" fillId="2" borderId="280" xfId="2" applyNumberFormat="1" applyFont="1" applyFill="1" applyBorder="1" applyAlignment="1" applyProtection="1">
      <alignment horizontal="center" vertical="center"/>
      <protection hidden="1"/>
    </xf>
    <xf numFmtId="0" fontId="83" fillId="2" borderId="281" xfId="2" applyNumberFormat="1" applyFont="1" applyFill="1" applyBorder="1" applyAlignment="1" applyProtection="1">
      <alignment horizontal="center" vertical="center"/>
      <protection hidden="1"/>
    </xf>
    <xf numFmtId="0" fontId="83" fillId="2" borderId="282" xfId="2" applyNumberFormat="1" applyFont="1" applyFill="1" applyBorder="1" applyAlignment="1" applyProtection="1">
      <alignment horizontal="left" vertical="center"/>
      <protection hidden="1"/>
    </xf>
    <xf numFmtId="0" fontId="83" fillId="2" borderId="283" xfId="2" applyNumberFormat="1" applyFont="1" applyFill="1" applyBorder="1" applyAlignment="1" applyProtection="1">
      <alignment horizontal="left" vertical="center"/>
      <protection hidden="1"/>
    </xf>
    <xf numFmtId="0" fontId="83" fillId="2" borderId="284" xfId="2" applyNumberFormat="1" applyFont="1" applyFill="1" applyBorder="1" applyAlignment="1" applyProtection="1">
      <alignment horizontal="left" vertical="center"/>
      <protection hidden="1"/>
    </xf>
    <xf numFmtId="0" fontId="83" fillId="0" borderId="248" xfId="2" applyNumberFormat="1" applyFont="1" applyFill="1" applyBorder="1" applyAlignment="1" applyProtection="1">
      <alignment horizontal="center" vertical="center"/>
      <protection hidden="1"/>
    </xf>
    <xf numFmtId="0" fontId="83" fillId="0" borderId="0" xfId="2" applyNumberFormat="1" applyFont="1" applyFill="1" applyAlignment="1" applyProtection="1">
      <alignment vertical="center" shrinkToFit="1"/>
      <protection hidden="1"/>
    </xf>
    <xf numFmtId="0" fontId="83" fillId="0" borderId="0" xfId="2" applyNumberFormat="1" applyFont="1" applyFill="1" applyBorder="1" applyAlignment="1" applyProtection="1">
      <alignment vertical="center" shrinkToFit="1"/>
      <protection hidden="1"/>
    </xf>
    <xf numFmtId="0" fontId="83" fillId="0" borderId="0" xfId="2" applyNumberFormat="1" applyFont="1" applyFill="1" applyBorder="1" applyAlignment="1" applyProtection="1">
      <alignment horizontal="center" vertical="center" shrinkToFit="1"/>
      <protection hidden="1"/>
    </xf>
    <xf numFmtId="0" fontId="94" fillId="0" borderId="168" xfId="2" applyNumberFormat="1" applyFont="1" applyFill="1" applyBorder="1" applyAlignment="1" applyProtection="1">
      <alignment vertical="center"/>
      <protection hidden="1"/>
    </xf>
    <xf numFmtId="0" fontId="94" fillId="0" borderId="0" xfId="2" applyNumberFormat="1" applyFont="1" applyFill="1" applyAlignment="1" applyProtection="1">
      <alignment vertical="center" shrinkToFit="1"/>
      <protection hidden="1"/>
    </xf>
    <xf numFmtId="0" fontId="98" fillId="0" borderId="0" xfId="2" applyNumberFormat="1" applyFont="1" applyFill="1" applyAlignment="1" applyProtection="1">
      <alignment horizontal="center" vertical="center"/>
      <protection hidden="1"/>
    </xf>
    <xf numFmtId="0" fontId="98" fillId="0" borderId="0" xfId="2" applyNumberFormat="1" applyFont="1" applyFill="1" applyAlignment="1" applyProtection="1">
      <alignment horizontal="left" vertical="center"/>
      <protection hidden="1"/>
    </xf>
    <xf numFmtId="0" fontId="94" fillId="0" borderId="229" xfId="2" applyNumberFormat="1" applyFont="1" applyFill="1" applyBorder="1" applyAlignment="1" applyProtection="1">
      <alignment horizontal="center" vertical="center"/>
      <protection hidden="1"/>
    </xf>
    <xf numFmtId="0" fontId="94" fillId="0" borderId="240" xfId="2" applyNumberFormat="1" applyFont="1" applyFill="1" applyBorder="1" applyAlignment="1" applyProtection="1">
      <alignment horizontal="center" vertical="center"/>
      <protection hidden="1"/>
    </xf>
    <xf numFmtId="0" fontId="83" fillId="33" borderId="121" xfId="2" applyNumberFormat="1" applyFont="1" applyFill="1" applyBorder="1" applyAlignment="1" applyProtection="1">
      <alignment horizontal="center" vertical="center"/>
      <protection hidden="1"/>
    </xf>
    <xf numFmtId="0" fontId="83" fillId="0" borderId="109" xfId="2" applyNumberFormat="1" applyFont="1" applyFill="1" applyBorder="1" applyAlignment="1" applyProtection="1">
      <alignment horizontal="center" vertical="center"/>
      <protection hidden="1"/>
    </xf>
    <xf numFmtId="0" fontId="94" fillId="0" borderId="286" xfId="2" applyNumberFormat="1" applyFont="1" applyFill="1" applyBorder="1" applyAlignment="1" applyProtection="1">
      <alignment horizontal="center" vertical="center"/>
      <protection hidden="1"/>
    </xf>
    <xf numFmtId="0" fontId="84" fillId="0" borderId="245" xfId="2" applyFont="1" applyFill="1" applyBorder="1" applyAlignment="1">
      <alignment horizontal="center"/>
    </xf>
    <xf numFmtId="0" fontId="84" fillId="0" borderId="246" xfId="2" applyFont="1" applyFill="1" applyBorder="1" applyAlignment="1">
      <alignment horizontal="center"/>
    </xf>
    <xf numFmtId="0" fontId="95" fillId="3" borderId="247" xfId="2" applyNumberFormat="1" applyFont="1" applyFill="1" applyBorder="1" applyAlignment="1" applyProtection="1">
      <alignment horizontal="center" vertical="center"/>
      <protection hidden="1"/>
    </xf>
    <xf numFmtId="0" fontId="83" fillId="0" borderId="243" xfId="2" applyNumberFormat="1" applyFont="1" applyFill="1" applyBorder="1" applyAlignment="1" applyProtection="1">
      <alignment horizontal="center" vertical="center"/>
      <protection hidden="1"/>
    </xf>
    <xf numFmtId="0" fontId="83" fillId="0" borderId="245" xfId="2" applyNumberFormat="1" applyFont="1" applyFill="1" applyBorder="1" applyAlignment="1" applyProtection="1">
      <alignment horizontal="center" vertical="center"/>
      <protection hidden="1"/>
    </xf>
    <xf numFmtId="0" fontId="83" fillId="0" borderId="246" xfId="2" applyNumberFormat="1" applyFont="1" applyFill="1" applyBorder="1" applyAlignment="1" applyProtection="1">
      <alignment horizontal="center" vertical="center"/>
      <protection hidden="1"/>
    </xf>
    <xf numFmtId="0" fontId="83" fillId="0" borderId="244" xfId="2" applyNumberFormat="1" applyFont="1" applyFill="1" applyBorder="1" applyAlignment="1" applyProtection="1">
      <alignment horizontal="center" vertical="center"/>
      <protection hidden="1"/>
    </xf>
    <xf numFmtId="0" fontId="83" fillId="0" borderId="247" xfId="2" applyNumberFormat="1" applyFont="1" applyFill="1" applyBorder="1" applyAlignment="1" applyProtection="1">
      <alignment horizontal="center" vertical="center"/>
      <protection hidden="1"/>
    </xf>
    <xf numFmtId="0" fontId="0" fillId="0" borderId="0" xfId="0" applyAlignment="1">
      <alignment horizontal="center"/>
    </xf>
    <xf numFmtId="0" fontId="84" fillId="0" borderId="0" xfId="2" applyNumberFormat="1" applyFont="1" applyFill="1" applyBorder="1" applyAlignment="1" applyProtection="1">
      <alignment horizontal="center" vertical="center"/>
      <protection hidden="1"/>
    </xf>
    <xf numFmtId="0" fontId="94" fillId="0" borderId="0" xfId="2" applyNumberFormat="1" applyFont="1" applyFill="1" applyBorder="1" applyAlignment="1" applyProtection="1">
      <alignment vertical="center" shrinkToFit="1"/>
      <protection hidden="1"/>
    </xf>
    <xf numFmtId="0" fontId="84" fillId="0" borderId="0" xfId="2" applyNumberFormat="1" applyFont="1" applyFill="1" applyBorder="1" applyAlignment="1" applyProtection="1">
      <alignment horizontal="right" vertical="center"/>
      <protection hidden="1"/>
    </xf>
    <xf numFmtId="0" fontId="86" fillId="0" borderId="0" xfId="2" applyNumberFormat="1" applyFont="1" applyFill="1" applyBorder="1" applyAlignment="1" applyProtection="1">
      <alignment horizontal="center" vertical="center"/>
      <protection hidden="1"/>
    </xf>
    <xf numFmtId="0" fontId="91" fillId="30" borderId="287" xfId="3" applyNumberFormat="1" applyFont="1" applyBorder="1" applyAlignment="1" applyProtection="1">
      <alignment horizontal="center" vertical="center" readingOrder="1"/>
    </xf>
    <xf numFmtId="0" fontId="83" fillId="2" borderId="285" xfId="2" applyNumberFormat="1" applyFont="1" applyFill="1" applyBorder="1" applyAlignment="1" applyProtection="1">
      <alignment vertical="center" shrinkToFit="1"/>
      <protection hidden="1"/>
    </xf>
    <xf numFmtId="0" fontId="0" fillId="10" borderId="187" xfId="0" applyFill="1" applyBorder="1" applyAlignment="1" applyProtection="1">
      <alignment horizontal="right" indent="2"/>
      <protection locked="0"/>
    </xf>
    <xf numFmtId="0" fontId="0" fillId="10" borderId="188" xfId="0" applyFill="1" applyBorder="1" applyAlignment="1" applyProtection="1">
      <alignment horizontal="center"/>
      <protection locked="0"/>
    </xf>
    <xf numFmtId="0" fontId="0" fillId="10" borderId="197" xfId="0" applyFill="1" applyBorder="1" applyAlignment="1" applyProtection="1">
      <alignment horizontal="right" indent="2"/>
      <protection locked="0"/>
    </xf>
    <xf numFmtId="0" fontId="0" fillId="10" borderId="199" xfId="0" applyFill="1" applyBorder="1" applyAlignment="1" applyProtection="1">
      <alignment horizontal="center"/>
      <protection locked="0"/>
    </xf>
    <xf numFmtId="3" fontId="83" fillId="0" borderId="0" xfId="2" applyNumberFormat="1" applyFont="1" applyFill="1" applyBorder="1" applyAlignment="1" applyProtection="1">
      <alignment horizontal="center" vertical="center" shrinkToFit="1"/>
      <protection hidden="1"/>
    </xf>
    <xf numFmtId="3" fontId="83" fillId="31" borderId="98" xfId="2" applyNumberFormat="1" applyFont="1" applyFill="1" applyBorder="1" applyAlignment="1" applyProtection="1">
      <alignment horizontal="center" vertical="center"/>
      <protection hidden="1"/>
    </xf>
    <xf numFmtId="0" fontId="10" fillId="0" borderId="243" xfId="0" applyFont="1" applyBorder="1"/>
    <xf numFmtId="0" fontId="0" fillId="0" borderId="245" xfId="0" applyBorder="1"/>
    <xf numFmtId="0" fontId="10" fillId="0" borderId="109" xfId="0" applyFont="1" applyBorder="1"/>
    <xf numFmtId="0" fontId="0" fillId="0" borderId="246" xfId="0" applyBorder="1"/>
    <xf numFmtId="0" fontId="10" fillId="0" borderId="244" xfId="0" applyFont="1" applyBorder="1"/>
    <xf numFmtId="0" fontId="0" fillId="0" borderId="247" xfId="0" applyBorder="1"/>
    <xf numFmtId="173" fontId="94" fillId="0" borderId="0" xfId="2" applyNumberFormat="1" applyFont="1" applyFill="1" applyBorder="1" applyAlignment="1" applyProtection="1">
      <alignment horizontal="center" vertical="center"/>
      <protection hidden="1"/>
    </xf>
    <xf numFmtId="0" fontId="0" fillId="2" borderId="26" xfId="0" applyFont="1" applyFill="1" applyBorder="1" applyAlignment="1" applyProtection="1">
      <alignment horizontal="left" vertical="center" wrapText="1" indent="1"/>
      <protection locked="0"/>
    </xf>
    <xf numFmtId="0" fontId="0" fillId="6" borderId="27" xfId="0" applyFont="1" applyFill="1" applyBorder="1" applyAlignment="1" applyProtection="1">
      <alignment horizontal="left" vertical="center" wrapText="1" indent="1"/>
      <protection locked="0"/>
    </xf>
    <xf numFmtId="0" fontId="0" fillId="9" borderId="27" xfId="0" applyFont="1" applyFill="1" applyBorder="1" applyAlignment="1" applyProtection="1">
      <alignment horizontal="left" vertical="center" wrapText="1" indent="1"/>
      <protection locked="0"/>
    </xf>
    <xf numFmtId="0" fontId="0" fillId="10" borderId="27" xfId="0" applyFont="1" applyFill="1" applyBorder="1" applyAlignment="1" applyProtection="1">
      <alignment horizontal="left" vertical="center" wrapText="1" indent="1"/>
      <protection locked="0"/>
    </xf>
    <xf numFmtId="0" fontId="83" fillId="0" borderId="0" xfId="2" applyNumberFormat="1" applyFont="1" applyFill="1" applyAlignment="1" applyProtection="1">
      <alignment horizontal="center" vertical="center" shrinkToFit="1"/>
      <protection hidden="1"/>
    </xf>
    <xf numFmtId="0" fontId="36" fillId="20" borderId="18" xfId="0" applyFont="1" applyFill="1" applyBorder="1" applyAlignment="1">
      <alignment horizontal="center" vertical="center" shrinkToFit="1"/>
    </xf>
    <xf numFmtId="0" fontId="12" fillId="0" borderId="0" xfId="0" applyFont="1" applyAlignment="1" applyProtection="1">
      <alignment horizontal="center" wrapText="1"/>
    </xf>
    <xf numFmtId="3" fontId="83" fillId="0" borderId="0" xfId="2" applyNumberFormat="1" applyFont="1" applyFill="1" applyBorder="1" applyAlignment="1" applyProtection="1">
      <alignment horizontal="center" vertical="center"/>
      <protection hidden="1"/>
    </xf>
    <xf numFmtId="3" fontId="94" fillId="0" borderId="288" xfId="2" applyNumberFormat="1" applyFont="1" applyFill="1" applyBorder="1" applyAlignment="1" applyProtection="1">
      <alignment horizontal="center" vertical="center"/>
      <protection hidden="1"/>
    </xf>
    <xf numFmtId="0" fontId="94" fillId="0" borderId="288" xfId="2" applyNumberFormat="1" applyFont="1" applyFill="1" applyBorder="1" applyAlignment="1" applyProtection="1">
      <alignment horizontal="center" vertical="center"/>
      <protection hidden="1"/>
    </xf>
    <xf numFmtId="0" fontId="83" fillId="0" borderId="243" xfId="2" applyNumberFormat="1" applyFont="1" applyFill="1" applyBorder="1" applyAlignment="1" applyProtection="1">
      <alignment vertical="center"/>
      <protection hidden="1"/>
    </xf>
    <xf numFmtId="0" fontId="83" fillId="0" borderId="245" xfId="2" applyNumberFormat="1" applyFont="1" applyFill="1" applyBorder="1" applyAlignment="1" applyProtection="1">
      <alignment vertical="center"/>
      <protection hidden="1"/>
    </xf>
    <xf numFmtId="0" fontId="83" fillId="0" borderId="109" xfId="2" applyNumberFormat="1" applyFont="1" applyFill="1" applyBorder="1" applyAlignment="1" applyProtection="1">
      <alignment vertical="center"/>
      <protection hidden="1"/>
    </xf>
    <xf numFmtId="0" fontId="83" fillId="0" borderId="246" xfId="2" applyNumberFormat="1" applyFont="1" applyFill="1" applyBorder="1" applyAlignment="1" applyProtection="1">
      <alignment vertical="center"/>
      <protection hidden="1"/>
    </xf>
    <xf numFmtId="0" fontId="83" fillId="0" borderId="244" xfId="2" applyNumberFormat="1" applyFont="1" applyFill="1" applyBorder="1" applyAlignment="1" applyProtection="1">
      <alignment vertical="center"/>
      <protection hidden="1"/>
    </xf>
    <xf numFmtId="0" fontId="83" fillId="0" borderId="247" xfId="2" applyNumberFormat="1" applyFont="1" applyFill="1" applyBorder="1" applyAlignment="1" applyProtection="1">
      <alignment vertical="center"/>
      <protection hidden="1"/>
    </xf>
    <xf numFmtId="0" fontId="75" fillId="0" borderId="0" xfId="0" applyFont="1" applyFill="1" applyBorder="1" applyAlignment="1" applyProtection="1">
      <alignment vertical="center"/>
    </xf>
    <xf numFmtId="0" fontId="99" fillId="0" borderId="0" xfId="0" applyFont="1" applyFill="1" applyBorder="1" applyAlignment="1" applyProtection="1">
      <alignment vertical="center"/>
    </xf>
    <xf numFmtId="0" fontId="100" fillId="0" borderId="0" xfId="2" applyNumberFormat="1" applyFont="1" applyFill="1" applyAlignment="1" applyProtection="1">
      <alignment vertical="center"/>
      <protection hidden="1"/>
    </xf>
    <xf numFmtId="0" fontId="0" fillId="9" borderId="70" xfId="0" applyFill="1" applyBorder="1" applyAlignment="1" applyProtection="1">
      <alignment horizontal="left" indent="1"/>
      <protection locked="0"/>
    </xf>
    <xf numFmtId="0" fontId="0" fillId="16" borderId="112" xfId="0" applyFill="1" applyBorder="1" applyAlignment="1" applyProtection="1">
      <alignment horizontal="left" wrapText="1" indent="1"/>
      <protection locked="0"/>
    </xf>
    <xf numFmtId="0" fontId="0" fillId="2" borderId="105" xfId="0" applyFill="1" applyBorder="1" applyAlignment="1" applyProtection="1">
      <alignment horizontal="left" indent="1"/>
    </xf>
    <xf numFmtId="0" fontId="0" fillId="0" borderId="187" xfId="0" applyFill="1" applyBorder="1" applyAlignment="1" applyProtection="1">
      <alignment horizontal="left" indent="1"/>
    </xf>
    <xf numFmtId="170" fontId="0" fillId="0" borderId="187" xfId="0" applyNumberFormat="1" applyFill="1" applyBorder="1" applyAlignment="1" applyProtection="1">
      <alignment horizontal="right" indent="2"/>
    </xf>
    <xf numFmtId="0" fontId="0" fillId="0" borderId="187" xfId="0" quotePrefix="1" applyFill="1" applyBorder="1" applyAlignment="1" applyProtection="1">
      <alignment horizontal="left" indent="1"/>
    </xf>
    <xf numFmtId="0" fontId="0" fillId="0" borderId="188" xfId="0" applyFill="1" applyBorder="1" applyAlignment="1" applyProtection="1">
      <alignment horizontal="center"/>
    </xf>
    <xf numFmtId="0" fontId="76" fillId="0" borderId="0" xfId="0" applyFont="1" applyFill="1" applyBorder="1" applyAlignment="1" applyProtection="1">
      <alignment horizontal="left" indent="1"/>
    </xf>
    <xf numFmtId="0" fontId="74" fillId="0" borderId="14" xfId="0" applyFont="1" applyBorder="1" applyAlignment="1" applyProtection="1">
      <alignment horizontal="center"/>
    </xf>
    <xf numFmtId="0" fontId="7" fillId="0" borderId="5" xfId="0" applyFont="1" applyFill="1" applyBorder="1" applyAlignment="1" applyProtection="1">
      <alignment horizontal="center"/>
    </xf>
    <xf numFmtId="0" fontId="7" fillId="0" borderId="0" xfId="0" applyFont="1" applyFill="1" applyBorder="1" applyAlignment="1" applyProtection="1">
      <alignment horizontal="center"/>
    </xf>
    <xf numFmtId="0" fontId="7" fillId="0" borderId="6" xfId="0" applyFont="1" applyFill="1" applyBorder="1" applyAlignment="1" applyProtection="1">
      <alignment horizontal="center"/>
    </xf>
    <xf numFmtId="0" fontId="15" fillId="0" borderId="174" xfId="0" applyFont="1" applyFill="1" applyBorder="1" applyAlignment="1" applyProtection="1">
      <alignment horizontal="center" vertical="top"/>
    </xf>
    <xf numFmtId="0" fontId="15" fillId="0" borderId="14" xfId="0" applyFont="1" applyFill="1" applyBorder="1" applyAlignment="1" applyProtection="1">
      <alignment horizontal="center" vertical="top"/>
    </xf>
    <xf numFmtId="0" fontId="15" fillId="0" borderId="175" xfId="0" applyFont="1" applyFill="1" applyBorder="1" applyAlignment="1" applyProtection="1">
      <alignment horizontal="center" vertical="top"/>
    </xf>
    <xf numFmtId="0" fontId="37" fillId="23" borderId="9" xfId="0" applyFont="1" applyFill="1" applyBorder="1" applyAlignment="1" applyProtection="1">
      <alignment horizontal="center"/>
    </xf>
    <xf numFmtId="0" fontId="37" fillId="23" borderId="10" xfId="0" applyFont="1" applyFill="1" applyBorder="1" applyAlignment="1" applyProtection="1">
      <alignment horizontal="center"/>
    </xf>
    <xf numFmtId="166" fontId="7" fillId="11" borderId="5" xfId="0" applyNumberFormat="1" applyFont="1" applyFill="1" applyBorder="1" applyAlignment="1" applyProtection="1">
      <alignment horizontal="center"/>
    </xf>
    <xf numFmtId="166" fontId="7" fillId="11" borderId="6" xfId="0" applyNumberFormat="1" applyFont="1" applyFill="1" applyBorder="1" applyAlignment="1" applyProtection="1">
      <alignment horizontal="center"/>
    </xf>
    <xf numFmtId="0" fontId="0" fillId="12" borderId="3" xfId="0" applyFill="1" applyBorder="1" applyAlignment="1" applyProtection="1">
      <alignment horizontal="center"/>
    </xf>
    <xf numFmtId="0" fontId="0" fillId="12" borderId="4" xfId="0" applyFill="1" applyBorder="1" applyAlignment="1" applyProtection="1">
      <alignment horizontal="center"/>
    </xf>
    <xf numFmtId="0" fontId="40" fillId="0" borderId="0" xfId="0" applyFont="1" applyBorder="1" applyAlignment="1" applyProtection="1">
      <alignment horizontal="center" vertical="center"/>
    </xf>
    <xf numFmtId="0" fontId="9" fillId="18" borderId="11" xfId="0" applyFont="1" applyFill="1" applyBorder="1" applyAlignment="1" applyProtection="1">
      <alignment horizontal="center" vertical="center"/>
    </xf>
    <xf numFmtId="0" fontId="9" fillId="18" borderId="12" xfId="0" applyFont="1" applyFill="1" applyBorder="1" applyAlignment="1" applyProtection="1">
      <alignment horizontal="center" vertical="center"/>
    </xf>
    <xf numFmtId="0" fontId="30" fillId="0" borderId="0" xfId="0" applyFont="1" applyBorder="1" applyAlignment="1" applyProtection="1">
      <alignment horizontal="center" vertical="center"/>
    </xf>
    <xf numFmtId="0" fontId="52" fillId="11" borderId="3" xfId="0" applyFont="1" applyFill="1" applyBorder="1" applyAlignment="1" applyProtection="1">
      <alignment horizontal="center" vertical="center"/>
    </xf>
    <xf numFmtId="0" fontId="52" fillId="11" borderId="4" xfId="0" applyFont="1" applyFill="1" applyBorder="1" applyAlignment="1" applyProtection="1">
      <alignment horizontal="center" vertical="center"/>
    </xf>
    <xf numFmtId="0" fontId="37" fillId="17" borderId="9" xfId="0" applyFont="1" applyFill="1" applyBorder="1" applyAlignment="1" applyProtection="1">
      <alignment horizontal="center"/>
    </xf>
    <xf numFmtId="0" fontId="37" fillId="17" borderId="10" xfId="0" applyFont="1" applyFill="1" applyBorder="1" applyAlignment="1" applyProtection="1">
      <alignment horizontal="center"/>
    </xf>
    <xf numFmtId="0" fontId="36" fillId="17" borderId="1" xfId="0" applyFont="1" applyFill="1" applyBorder="1" applyAlignment="1" applyProtection="1">
      <alignment horizontal="center"/>
    </xf>
    <xf numFmtId="0" fontId="36" fillId="17" borderId="2" xfId="0" applyFont="1" applyFill="1" applyBorder="1" applyAlignment="1" applyProtection="1">
      <alignment horizontal="center"/>
    </xf>
    <xf numFmtId="0" fontId="36" fillId="17" borderId="13" xfId="0" applyFont="1" applyFill="1" applyBorder="1" applyAlignment="1" applyProtection="1">
      <alignment horizontal="center"/>
    </xf>
    <xf numFmtId="0" fontId="29" fillId="0" borderId="14" xfId="0" applyFont="1" applyBorder="1" applyAlignment="1" applyProtection="1">
      <alignment horizontal="center" vertical="center"/>
    </xf>
    <xf numFmtId="0" fontId="29" fillId="0" borderId="14" xfId="0" applyFont="1" applyBorder="1" applyAlignment="1">
      <alignment horizontal="center" vertical="center"/>
    </xf>
    <xf numFmtId="0" fontId="30" fillId="0" borderId="0" xfId="0" applyFont="1" applyAlignment="1" applyProtection="1">
      <alignment horizontal="center"/>
    </xf>
    <xf numFmtId="0" fontId="7" fillId="0" borderId="0" xfId="0" applyFont="1" applyAlignment="1" applyProtection="1">
      <alignment horizontal="right"/>
    </xf>
    <xf numFmtId="0" fontId="7" fillId="0" borderId="0" xfId="0" applyFont="1" applyAlignment="1">
      <alignment horizontal="right"/>
    </xf>
    <xf numFmtId="0" fontId="23" fillId="0" borderId="0" xfId="0" applyFont="1" applyAlignment="1" applyProtection="1"/>
    <xf numFmtId="0" fontId="23" fillId="0" borderId="0" xfId="0" applyFont="1" applyAlignment="1"/>
    <xf numFmtId="0" fontId="32" fillId="0" borderId="0" xfId="1" applyAlignment="1" applyProtection="1">
      <alignment horizontal="right"/>
      <protection locked="0"/>
    </xf>
    <xf numFmtId="0" fontId="50" fillId="20" borderId="1" xfId="0" applyFont="1" applyFill="1" applyBorder="1" applyAlignment="1" applyProtection="1">
      <alignment horizontal="center" vertical="center"/>
    </xf>
    <xf numFmtId="0" fontId="50" fillId="20" borderId="13" xfId="0" applyFont="1" applyFill="1" applyBorder="1" applyAlignment="1" applyProtection="1">
      <alignment horizontal="center" vertical="center"/>
    </xf>
    <xf numFmtId="0" fontId="50" fillId="20" borderId="2" xfId="0" applyFont="1" applyFill="1" applyBorder="1" applyAlignment="1" applyProtection="1">
      <alignment horizontal="center" vertical="center"/>
    </xf>
    <xf numFmtId="0" fontId="0" fillId="12" borderId="5" xfId="0" applyFill="1" applyBorder="1" applyAlignment="1" applyProtection="1">
      <alignment horizontal="center"/>
    </xf>
    <xf numFmtId="0" fontId="0" fillId="12" borderId="0" xfId="0" applyFill="1" applyBorder="1" applyAlignment="1" applyProtection="1">
      <alignment horizontal="center"/>
    </xf>
    <xf numFmtId="0" fontId="0" fillId="12" borderId="6" xfId="0" applyFill="1" applyBorder="1" applyAlignment="1" applyProtection="1">
      <alignment horizontal="center"/>
    </xf>
    <xf numFmtId="0" fontId="57" fillId="2" borderId="0" xfId="0" applyFont="1" applyFill="1" applyAlignment="1" applyProtection="1">
      <alignment horizontal="center" vertical="center"/>
    </xf>
    <xf numFmtId="166" fontId="7" fillId="11" borderId="0" xfId="0" applyNumberFormat="1" applyFont="1" applyFill="1" applyBorder="1" applyAlignment="1" applyProtection="1">
      <alignment horizontal="center"/>
    </xf>
    <xf numFmtId="0" fontId="58" fillId="2" borderId="0" xfId="0" applyFont="1" applyFill="1" applyAlignment="1" applyProtection="1">
      <alignment horizontal="center" vertical="center"/>
    </xf>
    <xf numFmtId="0" fontId="9" fillId="20" borderId="13" xfId="0" applyFont="1" applyFill="1" applyBorder="1" applyAlignment="1" applyProtection="1">
      <alignment horizontal="center" vertical="center"/>
    </xf>
    <xf numFmtId="0" fontId="52" fillId="11" borderId="93" xfId="0" applyFont="1" applyFill="1" applyBorder="1" applyAlignment="1" applyProtection="1">
      <alignment horizontal="center" vertical="center"/>
    </xf>
    <xf numFmtId="0" fontId="9" fillId="18" borderId="13" xfId="0" applyFont="1" applyFill="1" applyBorder="1" applyAlignment="1" applyProtection="1">
      <alignment horizontal="center" vertical="center"/>
    </xf>
    <xf numFmtId="0" fontId="9" fillId="17" borderId="13" xfId="0" applyFont="1" applyFill="1" applyBorder="1" applyAlignment="1" applyProtection="1">
      <alignment horizontal="center" vertical="center"/>
    </xf>
    <xf numFmtId="0" fontId="52" fillId="11" borderId="5" xfId="0" applyFont="1" applyFill="1" applyBorder="1" applyAlignment="1" applyProtection="1">
      <alignment horizontal="center" vertical="center"/>
    </xf>
    <xf numFmtId="0" fontId="52" fillId="11" borderId="6" xfId="0" applyFont="1" applyFill="1" applyBorder="1" applyAlignment="1" applyProtection="1">
      <alignment horizontal="center" vertical="center"/>
    </xf>
    <xf numFmtId="0" fontId="9" fillId="20" borderId="11" xfId="0" applyFont="1" applyFill="1" applyBorder="1" applyAlignment="1" applyProtection="1">
      <alignment horizontal="center" vertical="center"/>
    </xf>
    <xf numFmtId="0" fontId="9" fillId="20" borderId="12" xfId="0" applyFont="1" applyFill="1" applyBorder="1" applyAlignment="1" applyProtection="1">
      <alignment horizontal="center" vertical="center"/>
    </xf>
    <xf numFmtId="0" fontId="66" fillId="0" borderId="0" xfId="0" applyFont="1" applyAlignment="1" applyProtection="1">
      <alignment horizontal="center"/>
    </xf>
    <xf numFmtId="0" fontId="81" fillId="0" borderId="0" xfId="0" applyFont="1" applyFill="1" applyAlignment="1" applyProtection="1">
      <alignment horizontal="center" vertical="center" wrapText="1"/>
    </xf>
    <xf numFmtId="0" fontId="78" fillId="0" borderId="0" xfId="0" applyFont="1" applyAlignment="1" applyProtection="1">
      <alignment horizontal="center"/>
    </xf>
    <xf numFmtId="0" fontId="6" fillId="0" borderId="0" xfId="0" applyFont="1" applyAlignment="1">
      <alignment horizontal="left"/>
    </xf>
    <xf numFmtId="0" fontId="22" fillId="0" borderId="219" xfId="0" applyFont="1" applyBorder="1" applyAlignment="1" applyProtection="1">
      <alignment horizontal="center" vertical="center" wrapText="1"/>
    </xf>
    <xf numFmtId="0" fontId="0" fillId="0" borderId="0" xfId="0" applyAlignment="1">
      <alignment horizontal="left" wrapText="1"/>
    </xf>
    <xf numFmtId="0" fontId="60" fillId="0" borderId="0" xfId="0" applyFont="1" applyAlignment="1">
      <alignment horizontal="center" vertical="center"/>
    </xf>
    <xf numFmtId="0" fontId="59" fillId="0" borderId="0" xfId="0" applyFont="1" applyAlignment="1">
      <alignment vertical="center"/>
    </xf>
    <xf numFmtId="0" fontId="61" fillId="0" borderId="0" xfId="0" applyFont="1" applyAlignment="1">
      <alignment horizontal="center" vertical="center" wrapText="1"/>
    </xf>
    <xf numFmtId="0" fontId="0" fillId="13" borderId="86" xfId="0" applyFont="1" applyFill="1" applyBorder="1" applyAlignment="1">
      <alignment horizontal="center" vertical="center" wrapText="1"/>
    </xf>
    <xf numFmtId="0" fontId="0" fillId="13" borderId="89" xfId="0" applyFont="1" applyFill="1" applyBorder="1" applyAlignment="1">
      <alignment horizontal="center" vertical="center"/>
    </xf>
    <xf numFmtId="0" fontId="64" fillId="0" borderId="0" xfId="0" applyFont="1" applyAlignment="1">
      <alignment horizontal="center"/>
    </xf>
    <xf numFmtId="0" fontId="59" fillId="0" borderId="0" xfId="0" applyFont="1" applyBorder="1" applyAlignment="1">
      <alignment horizontal="right" vertical="center" wrapText="1" indent="1"/>
    </xf>
    <xf numFmtId="0" fontId="59" fillId="0" borderId="33" xfId="0" applyFont="1" applyBorder="1" applyAlignment="1">
      <alignment horizontal="right" vertical="center" wrapText="1" indent="1"/>
    </xf>
    <xf numFmtId="0" fontId="20" fillId="0" borderId="0" xfId="0" applyFont="1" applyBorder="1" applyAlignment="1">
      <alignment horizontal="center" vertical="top"/>
    </xf>
    <xf numFmtId="0" fontId="4" fillId="13" borderId="54" xfId="0" applyFont="1" applyFill="1" applyBorder="1" applyAlignment="1" applyProtection="1">
      <alignment horizontal="center" vertical="center" wrapText="1"/>
    </xf>
    <xf numFmtId="0" fontId="4" fillId="13" borderId="84" xfId="0" applyFont="1" applyFill="1" applyBorder="1" applyAlignment="1" applyProtection="1">
      <alignment horizontal="center" vertical="center"/>
    </xf>
    <xf numFmtId="0" fontId="0" fillId="13" borderId="85" xfId="0" applyFill="1" applyBorder="1" applyAlignment="1">
      <alignment horizontal="center" vertical="center" wrapText="1"/>
    </xf>
    <xf numFmtId="0" fontId="0" fillId="13" borderId="88" xfId="0" applyFill="1" applyBorder="1" applyAlignment="1">
      <alignment horizontal="center" vertical="center"/>
    </xf>
    <xf numFmtId="0" fontId="0" fillId="0" borderId="55" xfId="0" applyBorder="1" applyAlignment="1" applyProtection="1">
      <alignment horizontal="center"/>
      <protection locked="0"/>
    </xf>
    <xf numFmtId="0" fontId="0" fillId="13" borderId="82" xfId="0" applyFill="1" applyBorder="1" applyAlignment="1">
      <alignment horizontal="center" vertical="center" wrapText="1"/>
    </xf>
    <xf numFmtId="0" fontId="0" fillId="13" borderId="87" xfId="0" applyFill="1" applyBorder="1" applyAlignment="1">
      <alignment horizontal="center" vertical="center"/>
    </xf>
    <xf numFmtId="0" fontId="0" fillId="13" borderId="85" xfId="0" applyFont="1" applyFill="1" applyBorder="1" applyAlignment="1">
      <alignment horizontal="center" vertical="center" wrapText="1"/>
    </xf>
    <xf numFmtId="0" fontId="0" fillId="13" borderId="88" xfId="0" applyFont="1" applyFill="1" applyBorder="1" applyAlignment="1">
      <alignment horizontal="center" vertical="center"/>
    </xf>
    <xf numFmtId="0" fontId="0" fillId="13" borderId="88" xfId="0" applyFill="1" applyBorder="1" applyAlignment="1">
      <alignment horizontal="center" vertical="center" wrapText="1"/>
    </xf>
    <xf numFmtId="0" fontId="62" fillId="0" borderId="0" xfId="0" applyFont="1" applyAlignment="1" applyProtection="1">
      <alignment horizontal="center"/>
    </xf>
    <xf numFmtId="0" fontId="59" fillId="0" borderId="0" xfId="0" applyFont="1" applyBorder="1" applyAlignment="1" applyProtection="1">
      <alignment horizontal="left" vertical="center" wrapText="1"/>
    </xf>
    <xf numFmtId="0" fontId="4" fillId="13" borderId="55" xfId="0" applyFont="1" applyFill="1" applyBorder="1" applyAlignment="1" applyProtection="1">
      <alignment horizontal="center" vertical="center"/>
    </xf>
    <xf numFmtId="0" fontId="4" fillId="13" borderId="82" xfId="0" applyFont="1" applyFill="1" applyBorder="1" applyAlignment="1" applyProtection="1">
      <alignment horizontal="center" vertical="center" wrapText="1"/>
    </xf>
    <xf numFmtId="0" fontId="4" fillId="13" borderId="83" xfId="0" applyFont="1" applyFill="1" applyBorder="1" applyAlignment="1" applyProtection="1">
      <alignment horizontal="center" vertical="center"/>
    </xf>
    <xf numFmtId="0" fontId="4" fillId="13" borderId="42" xfId="0" applyFont="1" applyFill="1" applyBorder="1" applyAlignment="1" applyProtection="1">
      <alignment horizontal="center" vertical="center" wrapText="1"/>
    </xf>
    <xf numFmtId="0" fontId="4" fillId="13" borderId="43" xfId="0" applyFont="1" applyFill="1" applyBorder="1" applyAlignment="1" applyProtection="1">
      <alignment horizontal="center" vertical="center"/>
    </xf>
    <xf numFmtId="0" fontId="65" fillId="0" borderId="0" xfId="0" applyFont="1" applyAlignment="1">
      <alignment horizontal="center"/>
    </xf>
    <xf numFmtId="0" fontId="22" fillId="0" borderId="59" xfId="0" applyFont="1" applyBorder="1" applyAlignment="1">
      <alignment horizontal="center" wrapText="1"/>
    </xf>
    <xf numFmtId="0" fontId="77" fillId="0" borderId="0" xfId="0" applyFont="1" applyAlignment="1">
      <alignment horizontal="center"/>
    </xf>
    <xf numFmtId="0" fontId="69" fillId="0" borderId="115" xfId="0" applyFont="1" applyBorder="1" applyAlignment="1">
      <alignment horizontal="center" vertical="top" wrapText="1"/>
    </xf>
    <xf numFmtId="0" fontId="69" fillId="0" borderId="119" xfId="0" applyFont="1" applyBorder="1" applyAlignment="1">
      <alignment horizontal="center" vertical="top" wrapText="1"/>
    </xf>
    <xf numFmtId="0" fontId="69" fillId="0" borderId="123" xfId="0" applyFont="1" applyBorder="1" applyAlignment="1">
      <alignment horizontal="center" vertical="top" wrapText="1"/>
    </xf>
    <xf numFmtId="0" fontId="20" fillId="0" borderId="0" xfId="0" applyFont="1" applyAlignment="1">
      <alignment horizontal="center" vertical="top"/>
    </xf>
    <xf numFmtId="0" fontId="0" fillId="0" borderId="0" xfId="0" applyBorder="1" applyAlignment="1">
      <alignment horizontal="center"/>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27" fillId="0" borderId="0" xfId="0" applyFont="1" applyAlignment="1">
      <alignment horizontal="center"/>
    </xf>
    <xf numFmtId="0" fontId="0" fillId="0" borderId="109" xfId="0" applyBorder="1" applyAlignment="1">
      <alignment horizontal="left"/>
    </xf>
    <xf numFmtId="0" fontId="0" fillId="0" borderId="0" xfId="0" applyBorder="1" applyAlignment="1">
      <alignment horizontal="left"/>
    </xf>
    <xf numFmtId="0" fontId="95" fillId="0" borderId="249" xfId="2" applyNumberFormat="1" applyFont="1" applyFill="1" applyBorder="1" applyAlignment="1" applyProtection="1">
      <alignment horizontal="center" vertical="center"/>
      <protection hidden="1"/>
    </xf>
  </cellXfs>
  <cellStyles count="4">
    <cellStyle name="Berechnung 2" xfId="3" xr:uid="{DE200129-B758-4B3E-934A-ACECA7D60EBB}"/>
    <cellStyle name="Link" xfId="1" builtinId="8"/>
    <cellStyle name="Standard" xfId="0" builtinId="0"/>
    <cellStyle name="Standard 2" xfId="2" xr:uid="{6AA77B02-D277-4728-A457-D893DCCA1287}"/>
  </cellStyles>
  <dxfs count="39">
    <dxf>
      <fill>
        <patternFill>
          <bgColor rgb="FFD6EDBD"/>
        </patternFill>
      </fill>
    </dxf>
    <dxf>
      <font>
        <b/>
        <i val="0"/>
      </font>
    </dxf>
    <dxf>
      <font>
        <b/>
        <i val="0"/>
      </font>
    </dxf>
    <dxf>
      <font>
        <b/>
        <i val="0"/>
      </font>
    </dxf>
    <dxf>
      <fill>
        <patternFill>
          <bgColor rgb="FFC4EA86"/>
        </patternFill>
      </fill>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tint="0.14996795556505021"/>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b val="0"/>
        <i val="0"/>
        <color rgb="FFB72343"/>
      </font>
    </dxf>
    <dxf>
      <font>
        <b val="0"/>
        <i val="0"/>
        <color rgb="FFB72343"/>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C000"/>
        </patternFill>
      </fill>
    </dxf>
    <dxf>
      <font>
        <color theme="1"/>
      </font>
    </dxf>
    <dxf>
      <font>
        <color theme="1"/>
      </font>
    </dxf>
    <dxf>
      <font>
        <color theme="1"/>
      </font>
    </dxf>
    <dxf>
      <font>
        <color theme="1"/>
      </font>
    </dxf>
    <dxf>
      <font>
        <color rgb="FFC00000"/>
      </font>
    </dxf>
    <dxf>
      <font>
        <color rgb="FFC00000"/>
      </font>
    </dxf>
    <dxf>
      <fill>
        <patternFill>
          <bgColor rgb="FFFFFF00"/>
        </patternFill>
      </fill>
    </dxf>
    <dxf>
      <fill>
        <patternFill>
          <bgColor rgb="FFFFC000"/>
        </patternFill>
      </fill>
    </dxf>
    <dxf>
      <fill>
        <patternFill>
          <bgColor rgb="FFFFC000"/>
        </patternFill>
      </fill>
    </dxf>
    <dxf>
      <fill>
        <patternFill>
          <bgColor rgb="FFEEFCF5"/>
        </patternFill>
      </fill>
    </dxf>
    <dxf>
      <fill>
        <patternFill>
          <bgColor rgb="FFEEFCF5"/>
        </patternFill>
      </fill>
    </dxf>
    <dxf>
      <fill>
        <patternFill>
          <bgColor rgb="FFEEFCF5"/>
        </patternFill>
      </fill>
    </dxf>
    <dxf>
      <fill>
        <patternFill>
          <bgColor rgb="FFEEFCF5"/>
        </patternFill>
      </fill>
    </dxf>
  </dxfs>
  <tableStyles count="0" defaultTableStyle="TableStyleMedium2" defaultPivotStyle="PivotStyleLight16"/>
  <colors>
    <mruColors>
      <color rgb="FFC4EA86"/>
      <color rgb="FFE04500"/>
      <color rgb="FFC83E00"/>
      <color rgb="FFE00000"/>
      <color rgb="FF007CFF"/>
      <color rgb="FFFFFFCC"/>
      <color rgb="FFD9AADA"/>
      <color rgb="FF3CD2FF"/>
      <color rgb="FFFFAF23"/>
      <color rgb="FFB4D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25</xdr:col>
      <xdr:colOff>205624</xdr:colOff>
      <xdr:row>0</xdr:row>
      <xdr:rowOff>28576</xdr:rowOff>
    </xdr:from>
    <xdr:to>
      <xdr:col>25</xdr:col>
      <xdr:colOff>647700</xdr:colOff>
      <xdr:row>1</xdr:row>
      <xdr:rowOff>47625</xdr:rowOff>
    </xdr:to>
    <xdr:pic>
      <xdr:nvPicPr>
        <xdr:cNvPr id="3" name="Grafik 2">
          <a:extLst>
            <a:ext uri="{FF2B5EF4-FFF2-40B4-BE49-F238E27FC236}">
              <a16:creationId xmlns:a16="http://schemas.microsoft.com/office/drawing/2014/main" id="{08354FA7-B04F-4C84-B377-9A5A7BB44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83974" y="28576"/>
          <a:ext cx="442076" cy="723899"/>
        </a:xfrm>
        <a:prstGeom prst="rect">
          <a:avLst/>
        </a:prstGeom>
      </xdr:spPr>
    </xdr:pic>
    <xdr:clientData/>
  </xdr:twoCellAnchor>
  <xdr:twoCellAnchor editAs="oneCell">
    <xdr:from>
      <xdr:col>1</xdr:col>
      <xdr:colOff>19051</xdr:colOff>
      <xdr:row>0</xdr:row>
      <xdr:rowOff>85726</xdr:rowOff>
    </xdr:from>
    <xdr:to>
      <xdr:col>1</xdr:col>
      <xdr:colOff>762000</xdr:colOff>
      <xdr:row>1</xdr:row>
      <xdr:rowOff>123825</xdr:rowOff>
    </xdr:to>
    <xdr:pic>
      <xdr:nvPicPr>
        <xdr:cNvPr id="5" name="Grafik 4">
          <a:extLst>
            <a:ext uri="{FF2B5EF4-FFF2-40B4-BE49-F238E27FC236}">
              <a16:creationId xmlns:a16="http://schemas.microsoft.com/office/drawing/2014/main" id="{C92FEE15-28A6-4BF5-9098-492DD7AAF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8601" y="85726"/>
          <a:ext cx="742949" cy="742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123825</xdr:colOff>
      <xdr:row>1</xdr:row>
      <xdr:rowOff>266700</xdr:rowOff>
    </xdr:from>
    <xdr:to>
      <xdr:col>8</xdr:col>
      <xdr:colOff>647699</xdr:colOff>
      <xdr:row>2</xdr:row>
      <xdr:rowOff>638769</xdr:rowOff>
    </xdr:to>
    <xdr:pic>
      <xdr:nvPicPr>
        <xdr:cNvPr id="2" name="Grafik 1">
          <a:extLst>
            <a:ext uri="{FF2B5EF4-FFF2-40B4-BE49-F238E27FC236}">
              <a16:creationId xmlns:a16="http://schemas.microsoft.com/office/drawing/2014/main" id="{3F983EA6-EAC3-472C-B39A-46AABBFE84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81875" y="457200"/>
          <a:ext cx="523874" cy="8578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WorldCup/de"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B1774-0522-428E-B2CE-CD64498F83F4}">
  <sheetPr codeName="Tabelle11"/>
  <dimension ref="A1:AZ107"/>
  <sheetViews>
    <sheetView showGridLines="0" showRowColHeaders="0" tabSelected="1" zoomScaleNormal="100" workbookViewId="0">
      <selection activeCell="B14" sqref="B14"/>
    </sheetView>
  </sheetViews>
  <sheetFormatPr baseColWidth="10" defaultColWidth="0" defaultRowHeight="15" zeroHeight="1" x14ac:dyDescent="0.25"/>
  <cols>
    <col min="1" max="1" width="3.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4" width="13.140625" customWidth="1"/>
    <col min="25" max="25" width="5.7109375" customWidth="1"/>
    <col min="26" max="27" width="13.140625" customWidth="1"/>
    <col min="28" max="28" width="5.7109375" customWidth="1"/>
    <col min="29" max="30" width="13.140625" customWidth="1"/>
    <col min="31" max="31" width="5.7109375" customWidth="1"/>
    <col min="32" max="33" width="13.140625" customWidth="1"/>
    <col min="34" max="34" width="5.7109375" customWidth="1"/>
    <col min="35" max="36" width="13.140625" customWidth="1"/>
    <col min="37" max="37" width="5.7109375" customWidth="1"/>
    <col min="38" max="39" width="13.140625" customWidth="1"/>
    <col min="40" max="40" width="5.7109375" customWidth="1"/>
    <col min="41" max="42" width="13.140625" customWidth="1"/>
    <col min="43" max="43" width="5.7109375" customWidth="1"/>
    <col min="44" max="45" width="13.140625" customWidth="1"/>
    <col min="46" max="46" width="5.7109375" customWidth="1"/>
    <col min="47" max="48" width="13.140625" customWidth="1"/>
    <col min="49" max="49" width="5.7109375" customWidth="1"/>
    <col min="50" max="50" width="2" customWidth="1"/>
    <col min="51" max="16384" width="11.42578125" hidden="1"/>
  </cols>
  <sheetData>
    <row r="1" spans="1:52" ht="55.5" customHeight="1" x14ac:dyDescent="0.6">
      <c r="A1" s="4"/>
      <c r="B1" s="4"/>
      <c r="C1" s="738"/>
      <c r="D1" s="738"/>
      <c r="E1" s="737" t="str">
        <f>Sprache!$E$121</f>
        <v>WM 2026 in Kanada/Mexiko/USA</v>
      </c>
      <c r="F1" s="737"/>
      <c r="G1" s="737"/>
      <c r="H1" s="737"/>
      <c r="I1" s="737"/>
      <c r="J1" s="737"/>
      <c r="K1" s="737"/>
      <c r="L1" s="737"/>
      <c r="M1" s="737"/>
      <c r="N1" s="737"/>
      <c r="O1" s="737"/>
      <c r="P1" s="737"/>
      <c r="Q1" s="737"/>
      <c r="R1" s="737"/>
      <c r="S1" s="737"/>
      <c r="T1" s="737"/>
      <c r="U1" s="737"/>
      <c r="V1" s="464"/>
      <c r="W1" s="464"/>
      <c r="X1" s="249" t="s">
        <v>1858</v>
      </c>
      <c r="Y1" s="24"/>
      <c r="AJ1" s="249"/>
      <c r="AV1" s="249" t="str">
        <f>X1</f>
        <v>hb/vers. 4.2.5_X
2026-04-27</v>
      </c>
    </row>
    <row r="2" spans="1:52" s="243" customFormat="1" ht="15" customHeight="1" x14ac:dyDescent="0.25">
      <c r="A2" s="241"/>
      <c r="B2" s="239"/>
      <c r="C2" s="60" t="str">
        <f>Sprache!$E$134</f>
        <v xml:space="preserve">  Pkt.     Tore</v>
      </c>
      <c r="D2" s="242"/>
      <c r="E2" s="239"/>
      <c r="F2" s="60" t="str">
        <f>Sprache!$E$134</f>
        <v xml:space="preserve">  Pkt.     Tore</v>
      </c>
      <c r="G2" s="242"/>
      <c r="H2" s="239"/>
      <c r="I2" s="60" t="str">
        <f>Sprache!$E$134</f>
        <v xml:space="preserve">  Pkt.     Tore</v>
      </c>
      <c r="J2" s="242"/>
      <c r="K2" s="240"/>
      <c r="L2" s="60" t="str">
        <f>Sprache!$E$134</f>
        <v xml:space="preserve">  Pkt.     Tore</v>
      </c>
      <c r="M2" s="242"/>
      <c r="N2" s="239"/>
      <c r="O2" s="60" t="str">
        <f>Sprache!$E$134</f>
        <v xml:space="preserve">  Pkt.     Tore</v>
      </c>
      <c r="P2" s="242"/>
      <c r="Q2" s="239"/>
      <c r="R2" s="60" t="str">
        <f>Sprache!$E$134</f>
        <v xml:space="preserve">  Pkt.     Tore</v>
      </c>
      <c r="S2" s="242"/>
      <c r="T2" s="239"/>
      <c r="U2" s="60" t="str">
        <f>Sprache!$E$134</f>
        <v xml:space="preserve">  Pkt.     Tore</v>
      </c>
      <c r="V2" s="242"/>
      <c r="W2" s="239"/>
      <c r="X2" s="60" t="str">
        <f>Sprache!$E$134</f>
        <v xml:space="preserve">  Pkt.     Tore</v>
      </c>
      <c r="Y2" s="241"/>
      <c r="Z2" s="239"/>
      <c r="AA2" s="60" t="str">
        <f>Sprache!$E$134</f>
        <v xml:space="preserve">  Pkt.     Tore</v>
      </c>
      <c r="AB2" s="242"/>
      <c r="AC2" s="239"/>
      <c r="AD2" s="60" t="str">
        <f>Sprache!$E$134</f>
        <v xml:space="preserve">  Pkt.     Tore</v>
      </c>
      <c r="AE2" s="242"/>
      <c r="AF2" s="239"/>
      <c r="AG2" s="60" t="str">
        <f>Sprache!$E$134</f>
        <v xml:space="preserve">  Pkt.     Tore</v>
      </c>
      <c r="AH2" s="242"/>
      <c r="AI2" s="240"/>
      <c r="AJ2" s="60" t="str">
        <f>Sprache!$E$134</f>
        <v xml:space="preserve">  Pkt.     Tore</v>
      </c>
      <c r="AK2" s="242"/>
      <c r="AL2" s="266"/>
      <c r="AM2" s="266"/>
      <c r="AN2" s="266"/>
      <c r="AO2" s="266"/>
      <c r="AP2" s="266"/>
      <c r="AQ2" s="266"/>
      <c r="AR2" s="266"/>
      <c r="AS2" s="266"/>
      <c r="AT2" s="266"/>
      <c r="AU2" s="266"/>
      <c r="AV2" s="266"/>
    </row>
    <row r="3" spans="1:52" x14ac:dyDescent="0.25">
      <c r="A3" s="5"/>
      <c r="B3" s="250" t="str">
        <f>CalcA!$D22</f>
        <v>Mexiko</v>
      </c>
      <c r="C3" s="251" t="str">
        <f>"   "&amp;CalcA!$E22&amp;"        "&amp;CalcA!$F22&amp;Sprache!$E$197&amp;CalcA!$G22</f>
        <v xml:space="preserve">   0        0 : 0</v>
      </c>
      <c r="D3" s="80"/>
      <c r="E3" s="250" t="str">
        <f>CalcB!$D22</f>
        <v>Kanada</v>
      </c>
      <c r="F3" s="251" t="str">
        <f>"   "&amp;CalcB!$E22&amp;"        "&amp;CalcB!$F22&amp;Sprache!$E$197&amp;CalcB!$G22</f>
        <v xml:space="preserve">   0        0 : 0</v>
      </c>
      <c r="G3" s="80"/>
      <c r="H3" s="250" t="str">
        <f>CalcC!$D22</f>
        <v>Brasilien</v>
      </c>
      <c r="I3" s="251" t="str">
        <f>"   "&amp;CalcC!$E22&amp;"        "&amp;CalcC!$F22&amp;Sprache!$E$197&amp;CalcC!$G22</f>
        <v xml:space="preserve">   0        0 : 0</v>
      </c>
      <c r="J3" s="81"/>
      <c r="K3" s="250" t="str">
        <f>CalcD!$D22</f>
        <v>USA</v>
      </c>
      <c r="L3" s="251" t="str">
        <f>"   "&amp;CalcD!$E22&amp;"        "&amp;CalcD!$F22&amp;Sprache!$E$197&amp;CalcD!$G22</f>
        <v xml:space="preserve">   0        0 : 0</v>
      </c>
      <c r="M3" s="81"/>
      <c r="N3" s="250" t="str">
        <f>CalcE!$D22</f>
        <v>Deutschland</v>
      </c>
      <c r="O3" s="251" t="str">
        <f>"   "&amp;CalcE!$E22&amp;"        "&amp;CalcE!$F22&amp;Sprache!$E$197&amp;CalcE!$G22</f>
        <v xml:space="preserve">   0        0 : 0</v>
      </c>
      <c r="P3" s="80"/>
      <c r="Q3" s="250" t="str">
        <f>CalcF!$D22</f>
        <v>Niederlande</v>
      </c>
      <c r="R3" s="251" t="str">
        <f>"   "&amp;CalcF!$E22&amp;"        "&amp;CalcF!$F22&amp;Sprache!$E$197&amp;CalcF!$G22</f>
        <v xml:space="preserve">   0        0 : 0</v>
      </c>
      <c r="S3" s="81"/>
      <c r="T3" s="250" t="str">
        <f>CalcG!$D22</f>
        <v>Belgien</v>
      </c>
      <c r="U3" s="251" t="str">
        <f>"   "&amp;CalcG!$E22&amp;"        "&amp;CalcG!$F22&amp;Sprache!$E$197&amp;CalcG!$G22</f>
        <v xml:space="preserve">   0        0 : 0</v>
      </c>
      <c r="V3" s="80"/>
      <c r="W3" s="250" t="str">
        <f>CalcH!$D22</f>
        <v>Spanien</v>
      </c>
      <c r="X3" s="251" t="str">
        <f>"   "&amp;CalcH!$E22&amp;"        "&amp;CalcH!$F22&amp;Sprache!$E$197&amp;CalcH!$G22</f>
        <v xml:space="preserve">   0        0 : 0</v>
      </c>
      <c r="Y3" s="5"/>
      <c r="Z3" s="250" t="str">
        <f>CalcI!$D22</f>
        <v>Frankreich</v>
      </c>
      <c r="AA3" s="251" t="str">
        <f>"   "&amp;CalcI!$E22&amp;"        "&amp;CalcI!$F22&amp;Sprache!$E$197&amp;CalcI!$G22</f>
        <v xml:space="preserve">   0        0 : 0</v>
      </c>
      <c r="AB3" s="80"/>
      <c r="AC3" s="250" t="str">
        <f>CalcJ!$D22</f>
        <v>Argentinien</v>
      </c>
      <c r="AD3" s="251" t="str">
        <f>"   "&amp;CalcJ!$E22&amp;"        "&amp;CalcJ!$F22&amp;Sprache!$E$197&amp;CalcJ!$G22</f>
        <v xml:space="preserve">   0        0 : 0</v>
      </c>
      <c r="AE3" s="80"/>
      <c r="AF3" s="250" t="str">
        <f>CalcK!$D22</f>
        <v>Portugal</v>
      </c>
      <c r="AG3" s="251" t="str">
        <f>"   "&amp;CalcK!$E22&amp;"        "&amp;CalcK!$F22&amp;Sprache!$E$197&amp;CalcK!$G22</f>
        <v xml:space="preserve">   0        0 : 0</v>
      </c>
      <c r="AH3" s="81"/>
      <c r="AI3" s="250" t="str">
        <f>CalcL!$D22</f>
        <v>England</v>
      </c>
      <c r="AJ3" s="251" t="str">
        <f>"   "&amp;CalcL!$E22&amp;"        "&amp;CalcL!$F22&amp;Sprache!$E$197&amp;CalcL!$G22</f>
        <v xml:space="preserve">   0        0 : 0</v>
      </c>
      <c r="AK3" s="81"/>
      <c r="AL3" s="677"/>
      <c r="AM3" s="266"/>
      <c r="AN3" s="266"/>
      <c r="AO3" s="266"/>
      <c r="AP3" s="266"/>
      <c r="AQ3" s="266"/>
      <c r="AR3" s="266"/>
      <c r="AS3" s="266"/>
      <c r="AT3" s="266"/>
      <c r="AU3" s="266"/>
      <c r="AV3" s="266"/>
      <c r="AZ3" s="243"/>
    </row>
    <row r="4" spans="1:52" x14ac:dyDescent="0.25">
      <c r="A4" s="5"/>
      <c r="B4" s="252" t="str">
        <f>CalcA!$D23</f>
        <v>Südafrika</v>
      </c>
      <c r="C4" s="253" t="str">
        <f>"   "&amp;CalcA!$E23&amp;"        "&amp;CalcA!$F23&amp;Sprache!$E$197&amp;CalcA!$G23</f>
        <v xml:space="preserve">   0        0 : 0</v>
      </c>
      <c r="D4" s="80"/>
      <c r="E4" s="252" t="str">
        <f>CalcB!$D23</f>
        <v>Bosnien/Herzeg.</v>
      </c>
      <c r="F4" s="253" t="str">
        <f>"   "&amp;CalcB!$E23&amp;"        "&amp;CalcB!$F23&amp;Sprache!$E$197&amp;CalcB!$G23</f>
        <v xml:space="preserve">   0        0 : 0</v>
      </c>
      <c r="G4" s="80"/>
      <c r="H4" s="252" t="str">
        <f>CalcC!$D23</f>
        <v>Marokko</v>
      </c>
      <c r="I4" s="253" t="str">
        <f>"   "&amp;CalcC!$E23&amp;"        "&amp;CalcC!$F23&amp;Sprache!$E$197&amp;CalcC!$G23</f>
        <v xml:space="preserve">   0        0 : 0</v>
      </c>
      <c r="J4" s="81"/>
      <c r="K4" s="252" t="str">
        <f>CalcD!$D23</f>
        <v>Paraguay</v>
      </c>
      <c r="L4" s="253" t="str">
        <f>"   "&amp;CalcD!$E23&amp;"        "&amp;CalcD!$F23&amp;Sprache!$E$197&amp;CalcD!$G23</f>
        <v xml:space="preserve">   0        0 : 0</v>
      </c>
      <c r="M4" s="81"/>
      <c r="N4" s="252" t="str">
        <f>CalcE!$D23</f>
        <v>Curaçao</v>
      </c>
      <c r="O4" s="253" t="str">
        <f>"   "&amp;CalcE!$E23&amp;"        "&amp;CalcE!$F23&amp;Sprache!$E$197&amp;CalcE!$G23</f>
        <v xml:space="preserve">   0        0 : 0</v>
      </c>
      <c r="P4" s="80"/>
      <c r="Q4" s="252" t="str">
        <f>CalcF!$D23</f>
        <v>Japan</v>
      </c>
      <c r="R4" s="253" t="str">
        <f>"   "&amp;CalcF!$E23&amp;"        "&amp;CalcF!$F23&amp;Sprache!$E$197&amp;CalcF!$G23</f>
        <v xml:space="preserve">   0        0 : 0</v>
      </c>
      <c r="S4" s="81"/>
      <c r="T4" s="252" t="str">
        <f>CalcG!$D23</f>
        <v>Ägypten</v>
      </c>
      <c r="U4" s="253" t="str">
        <f>"   "&amp;CalcG!$E23&amp;"        "&amp;CalcG!$F23&amp;Sprache!$E$197&amp;CalcG!$G23</f>
        <v xml:space="preserve">   0        0 : 0</v>
      </c>
      <c r="V4" s="80"/>
      <c r="W4" s="252" t="str">
        <f>CalcH!$D23</f>
        <v>Kap Verde</v>
      </c>
      <c r="X4" s="253" t="str">
        <f>"   "&amp;CalcH!$E23&amp;"        "&amp;CalcH!$F23&amp;Sprache!$E$197&amp;CalcH!$G23</f>
        <v xml:space="preserve">   0        0 : 0</v>
      </c>
      <c r="Y4" s="5"/>
      <c r="Z4" s="252" t="str">
        <f>CalcI!$D23</f>
        <v>Senegal</v>
      </c>
      <c r="AA4" s="253" t="str">
        <f>"   "&amp;CalcI!$E23&amp;"        "&amp;CalcI!$F23&amp;Sprache!$E$197&amp;CalcI!$G23</f>
        <v xml:space="preserve">   0        0 : 0</v>
      </c>
      <c r="AB4" s="80"/>
      <c r="AC4" s="252" t="str">
        <f>CalcJ!$D23</f>
        <v>Algerien</v>
      </c>
      <c r="AD4" s="253" t="str">
        <f>"   "&amp;CalcJ!$E23&amp;"        "&amp;CalcJ!$F23&amp;Sprache!$E$197&amp;CalcJ!$G23</f>
        <v xml:space="preserve">   0        0 : 0</v>
      </c>
      <c r="AE4" s="80"/>
      <c r="AF4" s="252" t="str">
        <f>CalcK!$D23</f>
        <v>DR Kongo</v>
      </c>
      <c r="AG4" s="253" t="str">
        <f>"   "&amp;CalcK!$E23&amp;"        "&amp;CalcK!$F23&amp;Sprache!$E$197&amp;CalcK!$G23</f>
        <v xml:space="preserve">   0        0 : 0</v>
      </c>
      <c r="AH4" s="81"/>
      <c r="AI4" s="252" t="str">
        <f>CalcL!$D23</f>
        <v>Kroatien</v>
      </c>
      <c r="AJ4" s="253" t="str">
        <f>"   "&amp;CalcL!$E23&amp;"        "&amp;CalcL!$F23&amp;Sprache!$E$197&amp;CalcL!$G23</f>
        <v xml:space="preserve">   0        0 : 0</v>
      </c>
      <c r="AK4" s="81"/>
      <c r="AL4" s="678"/>
      <c r="AM4" s="266"/>
      <c r="AN4" s="266"/>
      <c r="AO4" s="266"/>
      <c r="AP4" s="266"/>
      <c r="AQ4" s="266"/>
      <c r="AR4" s="266"/>
      <c r="AS4" s="266"/>
      <c r="AT4" s="266"/>
      <c r="AU4" s="266"/>
      <c r="AV4" s="266"/>
      <c r="AZ4" s="243"/>
    </row>
    <row r="5" spans="1:52" x14ac:dyDescent="0.25">
      <c r="A5" s="5"/>
      <c r="B5" s="281" t="str">
        <f>CalcA!$D24</f>
        <v>Südkorea</v>
      </c>
      <c r="C5" s="282" t="str">
        <f>"   "&amp;CalcA!$E24&amp;"        "&amp;CalcA!$F24&amp;Sprache!$E$197&amp;CalcA!$G24</f>
        <v xml:space="preserve">   0        0 : 0</v>
      </c>
      <c r="D5" s="80"/>
      <c r="E5" s="281" t="str">
        <f>CalcB!$D24</f>
        <v>Katar</v>
      </c>
      <c r="F5" s="282" t="str">
        <f>"   "&amp;CalcB!$E24&amp;"        "&amp;CalcB!$F24&amp;Sprache!$E$197&amp;CalcB!$G24</f>
        <v xml:space="preserve">   0        0 : 0</v>
      </c>
      <c r="G5" s="80"/>
      <c r="H5" s="281" t="str">
        <f>CalcC!$D24</f>
        <v>Haiti</v>
      </c>
      <c r="I5" s="282" t="str">
        <f>"   "&amp;CalcC!$E24&amp;"        "&amp;CalcC!$F24&amp;Sprache!$E$197&amp;CalcC!$G24</f>
        <v xml:space="preserve">   0        0 : 0</v>
      </c>
      <c r="J5" s="81"/>
      <c r="K5" s="281" t="str">
        <f>CalcD!$D24</f>
        <v>Australien</v>
      </c>
      <c r="L5" s="282" t="str">
        <f>"   "&amp;CalcD!$E24&amp;"        "&amp;CalcD!$F24&amp;Sprache!$E$197&amp;CalcD!$G24</f>
        <v xml:space="preserve">   0        0 : 0</v>
      </c>
      <c r="M5" s="81"/>
      <c r="N5" s="281" t="str">
        <f>CalcE!$D24</f>
        <v>Elfenbeinküste</v>
      </c>
      <c r="O5" s="282" t="str">
        <f>"   "&amp;CalcE!$E24&amp;"        "&amp;CalcE!$F24&amp;Sprache!$E$197&amp;CalcE!$G24</f>
        <v xml:space="preserve">   0        0 : 0</v>
      </c>
      <c r="P5" s="80"/>
      <c r="Q5" s="281" t="str">
        <f>CalcF!$D24</f>
        <v>Schweden</v>
      </c>
      <c r="R5" s="282" t="str">
        <f>"   "&amp;CalcF!$E24&amp;"        "&amp;CalcF!$F24&amp;Sprache!$E$197&amp;CalcF!$G24</f>
        <v xml:space="preserve">   0        0 : 0</v>
      </c>
      <c r="S5" s="81"/>
      <c r="T5" s="281" t="str">
        <f>CalcG!$D24</f>
        <v>IR Iran</v>
      </c>
      <c r="U5" s="282" t="str">
        <f>"   "&amp;CalcG!$E24&amp;"        "&amp;CalcG!$F24&amp;Sprache!$E$197&amp;CalcG!$G24</f>
        <v xml:space="preserve">   0        0 : 0</v>
      </c>
      <c r="V5" s="80"/>
      <c r="W5" s="281" t="str">
        <f>CalcH!$D24</f>
        <v>Saudiarabien</v>
      </c>
      <c r="X5" s="282" t="str">
        <f>"   "&amp;CalcH!$E24&amp;"        "&amp;CalcH!$F24&amp;Sprache!$E$197&amp;CalcH!$G24</f>
        <v xml:space="preserve">   0        0 : 0</v>
      </c>
      <c r="Y5" s="5"/>
      <c r="Z5" s="281" t="str">
        <f>CalcI!$D24</f>
        <v>Irak</v>
      </c>
      <c r="AA5" s="282" t="str">
        <f>"   "&amp;CalcI!$E24&amp;"        "&amp;CalcI!$F24&amp;Sprache!$E$197&amp;CalcI!$G24</f>
        <v xml:space="preserve">   0        0 : 0</v>
      </c>
      <c r="AB5" s="80"/>
      <c r="AC5" s="281" t="str">
        <f>CalcJ!$D24</f>
        <v>Österreich</v>
      </c>
      <c r="AD5" s="282" t="str">
        <f>"   "&amp;CalcJ!$E24&amp;"        "&amp;CalcJ!$F24&amp;Sprache!$E$197&amp;CalcJ!$G24</f>
        <v xml:space="preserve">   0        0 : 0</v>
      </c>
      <c r="AE5" s="80"/>
      <c r="AF5" s="281" t="str">
        <f>CalcK!$D24</f>
        <v>Usbekistan</v>
      </c>
      <c r="AG5" s="282" t="str">
        <f>"   "&amp;CalcK!$E24&amp;"        "&amp;CalcK!$F24&amp;Sprache!$E$197&amp;CalcK!$G24</f>
        <v xml:space="preserve">   0        0 : 0</v>
      </c>
      <c r="AH5" s="81"/>
      <c r="AI5" s="281" t="str">
        <f>CalcL!$D24</f>
        <v>Ghana</v>
      </c>
      <c r="AJ5" s="282" t="str">
        <f>"   "&amp;CalcL!$E24&amp;"        "&amp;CalcL!$F24&amp;Sprache!$E$197&amp;CalcL!$G24</f>
        <v xml:space="preserve">   0        0 : 0</v>
      </c>
      <c r="AK5" s="81"/>
      <c r="AL5" s="678"/>
      <c r="AM5" s="266"/>
      <c r="AN5" s="266"/>
      <c r="AO5" s="266"/>
      <c r="AP5" s="266"/>
      <c r="AQ5" s="266"/>
      <c r="AR5" s="266"/>
      <c r="AS5" s="266"/>
      <c r="AT5" s="266"/>
      <c r="AU5" s="266"/>
      <c r="AV5" s="266"/>
      <c r="AZ5" s="243"/>
    </row>
    <row r="6" spans="1:52" x14ac:dyDescent="0.25">
      <c r="A6" s="5"/>
      <c r="B6" s="91" t="str">
        <f>CalcA!$D25</f>
        <v>Tschechien</v>
      </c>
      <c r="C6" s="238" t="str">
        <f>"   "&amp;CalcA!$E25&amp;"        "&amp;CalcA!$F25&amp;Sprache!$E$197&amp;CalcA!$G25</f>
        <v xml:space="preserve">   0        0 : 0</v>
      </c>
      <c r="D6" s="80"/>
      <c r="E6" s="91" t="str">
        <f>CalcB!$D25</f>
        <v>Schweiz</v>
      </c>
      <c r="F6" s="238" t="str">
        <f>"   "&amp;CalcB!$E25&amp;"        "&amp;CalcB!$F25&amp;Sprache!$E$197&amp;CalcB!$G25</f>
        <v xml:space="preserve">   0        0 : 0</v>
      </c>
      <c r="G6" s="80"/>
      <c r="H6" s="91" t="str">
        <f>CalcC!$D25</f>
        <v>Schottland</v>
      </c>
      <c r="I6" s="238" t="str">
        <f>"   "&amp;CalcC!$E25&amp;"        "&amp;CalcC!$F25&amp;Sprache!$E$197&amp;CalcC!$G25</f>
        <v xml:space="preserve">   0        0 : 0</v>
      </c>
      <c r="J6" s="81"/>
      <c r="K6" s="91" t="str">
        <f>CalcD!$D25</f>
        <v>Türkei</v>
      </c>
      <c r="L6" s="238" t="str">
        <f>"   "&amp;CalcD!$E25&amp;"        "&amp;CalcD!$F25&amp;Sprache!$E$197&amp;CalcD!$G25</f>
        <v xml:space="preserve">   0        0 : 0</v>
      </c>
      <c r="M6" s="81"/>
      <c r="N6" s="91" t="str">
        <f>CalcE!$D25</f>
        <v>Ecuador</v>
      </c>
      <c r="O6" s="238" t="str">
        <f>"   "&amp;CalcE!$E25&amp;"        "&amp;CalcE!$F25&amp;Sprache!$E$197&amp;CalcE!$G25</f>
        <v xml:space="preserve">   0        0 : 0</v>
      </c>
      <c r="P6" s="80"/>
      <c r="Q6" s="91" t="str">
        <f>CalcF!$D25</f>
        <v>Tunesien</v>
      </c>
      <c r="R6" s="238" t="str">
        <f>"   "&amp;CalcF!$E25&amp;"        "&amp;CalcF!$F25&amp;Sprache!$E$197&amp;CalcF!$G25</f>
        <v xml:space="preserve">   0        0 : 0</v>
      </c>
      <c r="S6" s="81"/>
      <c r="T6" s="91" t="str">
        <f>CalcG!$D25</f>
        <v>Neuseeland</v>
      </c>
      <c r="U6" s="238" t="str">
        <f>"   "&amp;CalcG!$E25&amp;"        "&amp;CalcG!$F25&amp;Sprache!$E$197&amp;CalcG!$G25</f>
        <v xml:space="preserve">   0        0 : 0</v>
      </c>
      <c r="V6" s="80"/>
      <c r="W6" s="91" t="str">
        <f>CalcH!$D25</f>
        <v>Uruguay</v>
      </c>
      <c r="X6" s="238" t="str">
        <f>"   "&amp;CalcH!$E25&amp;"        "&amp;CalcH!$F25&amp;Sprache!$E$197&amp;CalcH!$G25</f>
        <v xml:space="preserve">   0        0 : 0</v>
      </c>
      <c r="Y6" s="5"/>
      <c r="Z6" s="91" t="str">
        <f>CalcI!$D25</f>
        <v>Norwegen</v>
      </c>
      <c r="AA6" s="238" t="str">
        <f>"   "&amp;CalcI!$E25&amp;"        "&amp;CalcI!$F25&amp;Sprache!$E$197&amp;CalcI!$G25</f>
        <v xml:space="preserve">   0        0 : 0</v>
      </c>
      <c r="AB6" s="80"/>
      <c r="AC6" s="91" t="str">
        <f>CalcJ!$D25</f>
        <v>Jordanien</v>
      </c>
      <c r="AD6" s="238" t="str">
        <f>"   "&amp;CalcJ!$E25&amp;"        "&amp;CalcJ!$F25&amp;Sprache!$E$197&amp;CalcJ!$G25</f>
        <v xml:space="preserve">   0        0 : 0</v>
      </c>
      <c r="AE6" s="80"/>
      <c r="AF6" s="91" t="str">
        <f>CalcK!$D25</f>
        <v>Kolumbien</v>
      </c>
      <c r="AG6" s="238" t="str">
        <f>"   "&amp;CalcK!$E25&amp;"        "&amp;CalcK!$F25&amp;Sprache!$E$197&amp;CalcK!$G25</f>
        <v xml:space="preserve">   0        0 : 0</v>
      </c>
      <c r="AH6" s="81"/>
      <c r="AI6" s="91" t="str">
        <f>CalcL!$D25</f>
        <v>Panama</v>
      </c>
      <c r="AJ6" s="238" t="str">
        <f>"   "&amp;CalcL!$E25&amp;"        "&amp;CalcL!$F25&amp;Sprache!$E$197&amp;CalcL!$G25</f>
        <v xml:space="preserve">   0        0 : 0</v>
      </c>
      <c r="AK6" s="81"/>
      <c r="AL6" s="678"/>
      <c r="AM6" s="266"/>
      <c r="AN6" s="266"/>
      <c r="AO6" s="266"/>
      <c r="AP6" s="266"/>
      <c r="AQ6" s="266"/>
      <c r="AR6" s="266"/>
      <c r="AS6" s="266"/>
      <c r="AT6" s="266"/>
      <c r="AU6" s="266"/>
      <c r="AV6" s="266"/>
    </row>
    <row r="7" spans="1:52" ht="13.5" customHeight="1" x14ac:dyDescent="0.25">
      <c r="A7" s="5"/>
      <c r="B7" s="701" t="str">
        <f>IF(Distinctness!$G$17=0,"",IF(Distinctness!$D$4&gt;0,Distinctness!$J$4,Distinctness!$J$5))</f>
        <v/>
      </c>
      <c r="C7" s="701"/>
      <c r="D7" s="701"/>
      <c r="E7" s="701"/>
      <c r="F7" s="701"/>
      <c r="G7" s="701"/>
      <c r="H7" s="701"/>
      <c r="I7" s="701"/>
      <c r="J7" s="701"/>
      <c r="K7" s="701"/>
      <c r="L7" s="701"/>
      <c r="M7" s="701"/>
      <c r="N7" s="701"/>
      <c r="O7" s="701"/>
      <c r="P7" s="701"/>
      <c r="Q7" s="701"/>
      <c r="R7" s="701"/>
      <c r="S7" s="701"/>
      <c r="T7" s="701"/>
      <c r="U7" s="701"/>
      <c r="V7" s="701"/>
      <c r="W7" s="701"/>
      <c r="X7" s="701"/>
      <c r="Y7" s="5"/>
      <c r="Z7" s="701" t="str">
        <f>B7</f>
        <v/>
      </c>
      <c r="AA7" s="701"/>
      <c r="AB7" s="701"/>
      <c r="AC7" s="701"/>
      <c r="AD7" s="701"/>
      <c r="AE7" s="701"/>
      <c r="AF7" s="701"/>
      <c r="AG7" s="701"/>
      <c r="AH7" s="701"/>
      <c r="AI7" s="701"/>
      <c r="AJ7" s="701"/>
      <c r="AK7" s="267"/>
      <c r="AL7" s="267"/>
      <c r="AM7" s="267"/>
      <c r="AN7" s="267"/>
      <c r="AO7" s="267"/>
      <c r="AP7" s="267"/>
      <c r="AQ7" s="267"/>
      <c r="AR7" s="267"/>
      <c r="AS7" s="267"/>
      <c r="AT7" s="267"/>
      <c r="AU7" s="267"/>
      <c r="AV7" s="267"/>
      <c r="AZ7" t="str">
        <f>Tagesplan!$N7</f>
        <v/>
      </c>
    </row>
    <row r="8" spans="1:52" ht="11.25" customHeight="1" x14ac:dyDescent="0.25">
      <c r="A8" s="4"/>
      <c r="B8" s="712" t="str">
        <f>IF(CalcA!$AU$14,"•","")</f>
        <v/>
      </c>
      <c r="C8" s="713"/>
      <c r="D8" s="98"/>
      <c r="E8" s="712" t="str">
        <f>IF(CalcB!$AU$14,"•","")</f>
        <v/>
      </c>
      <c r="F8" s="713"/>
      <c r="G8" s="98"/>
      <c r="H8" s="712" t="str">
        <f>IF(CalcC!$AU$14,"•","")</f>
        <v/>
      </c>
      <c r="I8" s="713"/>
      <c r="J8" s="98"/>
      <c r="K8" s="712" t="str">
        <f>IF(CalcD!$AU$14,"•","")</f>
        <v/>
      </c>
      <c r="L8" s="713"/>
      <c r="M8" s="22"/>
      <c r="N8" s="712" t="str">
        <f>IF(CalcE!$AU$14,"•","")</f>
        <v/>
      </c>
      <c r="O8" s="713"/>
      <c r="P8" s="98"/>
      <c r="Q8" s="712" t="str">
        <f>IF(CalcF!$AU$14,"•","")</f>
        <v/>
      </c>
      <c r="R8" s="713"/>
      <c r="S8" s="99"/>
      <c r="T8" s="712" t="str">
        <f>IF(CalcG!$AU$14,"•","")</f>
        <v/>
      </c>
      <c r="U8" s="713"/>
      <c r="V8" s="98"/>
      <c r="W8" s="712" t="str">
        <f>IF(CalcH!$AU$14,"•","")</f>
        <v/>
      </c>
      <c r="X8" s="713"/>
      <c r="Y8" s="4"/>
      <c r="Z8" s="712" t="str">
        <f>IF(CalcI!$AU$14,"•","")</f>
        <v/>
      </c>
      <c r="AA8" s="713"/>
      <c r="AB8" s="98"/>
      <c r="AC8" s="712" t="str">
        <f>IF(CalcJ!$AU$14,"•","")</f>
        <v/>
      </c>
      <c r="AD8" s="713"/>
      <c r="AE8" s="98"/>
      <c r="AF8" s="712" t="str">
        <f>IF(CalcK!$AU$14,"•","")</f>
        <v/>
      </c>
      <c r="AG8" s="713"/>
      <c r="AH8" s="98"/>
      <c r="AI8" s="712" t="str">
        <f>IF(CalcL!$AU$14,"•","")</f>
        <v/>
      </c>
      <c r="AJ8" s="713"/>
      <c r="AK8" s="269"/>
      <c r="AL8" s="279"/>
      <c r="AM8" s="279"/>
      <c r="AN8" s="270"/>
      <c r="AO8" s="279"/>
      <c r="AP8" s="279"/>
      <c r="AQ8" s="271"/>
      <c r="AR8" s="279"/>
      <c r="AS8" s="279"/>
      <c r="AT8" s="270"/>
      <c r="AU8" s="279"/>
      <c r="AV8" s="279"/>
      <c r="AZ8" t="str">
        <f>Tagesplan!$N8</f>
        <v/>
      </c>
    </row>
    <row r="9" spans="1:52" ht="18.75" x14ac:dyDescent="0.3">
      <c r="A9" s="4"/>
      <c r="B9" s="709" t="str">
        <f>Sprache!$E$130&amp;" A"</f>
        <v>Gruppe A</v>
      </c>
      <c r="C9" s="710"/>
      <c r="D9" s="6"/>
      <c r="E9" s="709" t="str">
        <f>Sprache!$E$130&amp;" B"</f>
        <v>Gruppe B</v>
      </c>
      <c r="F9" s="710"/>
      <c r="G9" s="4"/>
      <c r="H9" s="709" t="str">
        <f>Sprache!$E$130&amp;" C"</f>
        <v>Gruppe C</v>
      </c>
      <c r="I9" s="710"/>
      <c r="J9" s="4"/>
      <c r="K9" s="709" t="str">
        <f>Sprache!$E$130&amp;" D"</f>
        <v>Gruppe D</v>
      </c>
      <c r="L9" s="710"/>
      <c r="M9" s="4"/>
      <c r="N9" s="709" t="str">
        <f>Sprache!$E$130&amp;" E"</f>
        <v>Gruppe E</v>
      </c>
      <c r="O9" s="710"/>
      <c r="P9" s="4"/>
      <c r="Q9" s="709" t="str">
        <f>Sprache!$E$130&amp;" F"</f>
        <v>Gruppe F</v>
      </c>
      <c r="R9" s="710"/>
      <c r="S9" s="4"/>
      <c r="T9" s="709" t="str">
        <f>Sprache!$E$130&amp;" G"</f>
        <v>Gruppe G</v>
      </c>
      <c r="U9" s="710"/>
      <c r="V9" s="4"/>
      <c r="W9" s="709" t="str">
        <f>Sprache!$E$130&amp;" H"</f>
        <v>Gruppe H</v>
      </c>
      <c r="X9" s="710"/>
      <c r="Y9" s="4"/>
      <c r="Z9" s="709" t="str">
        <f>Sprache!$E$130&amp;" I"</f>
        <v>Gruppe I</v>
      </c>
      <c r="AA9" s="710"/>
      <c r="AB9" s="6"/>
      <c r="AC9" s="709" t="str">
        <f>Sprache!$E$130&amp;" J"</f>
        <v>Gruppe J</v>
      </c>
      <c r="AD9" s="710"/>
      <c r="AE9" s="4"/>
      <c r="AF9" s="709" t="str">
        <f>Sprache!$E$130&amp;" K"</f>
        <v>Gruppe K</v>
      </c>
      <c r="AG9" s="710"/>
      <c r="AH9" s="4"/>
      <c r="AI9" s="709" t="str">
        <f>Sprache!$E$130&amp;" L"</f>
        <v>Gruppe L</v>
      </c>
      <c r="AJ9" s="711"/>
      <c r="AK9" s="18"/>
      <c r="AL9" s="280"/>
      <c r="AM9" s="280"/>
      <c r="AN9" s="18"/>
      <c r="AO9" s="280"/>
      <c r="AP9" s="280"/>
      <c r="AQ9" s="18"/>
      <c r="AR9" s="280"/>
      <c r="AS9" s="280"/>
      <c r="AT9" s="18"/>
      <c r="AU9" s="280"/>
      <c r="AV9" s="280"/>
      <c r="AZ9" t="str">
        <f>Tagesplan!$N9</f>
        <v/>
      </c>
    </row>
    <row r="10" spans="1:52" ht="8.25" customHeight="1" thickBot="1" x14ac:dyDescent="0.35">
      <c r="A10" s="4"/>
      <c r="B10" s="39"/>
      <c r="C10" s="39"/>
      <c r="D10" s="40"/>
      <c r="E10" s="39"/>
      <c r="F10" s="39"/>
      <c r="G10" s="18"/>
      <c r="H10" s="39"/>
      <c r="I10" s="39"/>
      <c r="J10" s="18"/>
      <c r="K10" s="39"/>
      <c r="L10" s="39"/>
      <c r="M10" s="18"/>
      <c r="N10" s="39"/>
      <c r="O10" s="39"/>
      <c r="P10" s="18"/>
      <c r="Q10" s="39"/>
      <c r="R10" s="39"/>
      <c r="S10" s="4"/>
      <c r="T10" s="39"/>
      <c r="U10" s="39"/>
      <c r="V10" s="18"/>
      <c r="W10" s="39"/>
      <c r="X10" s="39"/>
      <c r="Y10" s="4"/>
      <c r="Z10" s="39"/>
      <c r="AA10" s="39"/>
      <c r="AB10" s="40"/>
      <c r="AC10" s="39"/>
      <c r="AD10" s="39"/>
      <c r="AE10" s="18"/>
      <c r="AF10" s="39"/>
      <c r="AG10" s="39"/>
      <c r="AH10" s="18"/>
      <c r="AI10" s="39"/>
      <c r="AJ10" s="39"/>
      <c r="AK10" s="18"/>
      <c r="AL10" s="39"/>
      <c r="AM10" s="39"/>
      <c r="AN10" s="18"/>
      <c r="AO10" s="39"/>
      <c r="AP10" s="39"/>
      <c r="AQ10" s="18"/>
      <c r="AR10" s="39"/>
      <c r="AS10" s="39"/>
      <c r="AT10" s="18"/>
      <c r="AU10" s="39"/>
      <c r="AV10" s="39"/>
      <c r="AZ10" t="str">
        <f>Tagesplan!$N10</f>
        <v/>
      </c>
    </row>
    <row r="11" spans="1:52" x14ac:dyDescent="0.25">
      <c r="A11" s="86">
        <v>1</v>
      </c>
      <c r="B11" s="699" t="str">
        <f>VLOOKUP(A11,Matches!$B$4:$K$113,7,0)</f>
        <v>Mexico City</v>
      </c>
      <c r="C11" s="700"/>
      <c r="D11" s="86">
        <v>3</v>
      </c>
      <c r="E11" s="699" t="str">
        <f>VLOOKUP(D11,Matches!$B$4:$K$113,7,0)</f>
        <v>Toronto</v>
      </c>
      <c r="F11" s="700"/>
      <c r="G11" s="86">
        <v>7</v>
      </c>
      <c r="H11" s="699" t="str">
        <f>VLOOKUP(G11,Matches!$B$4:$K$113,7,0)</f>
        <v>New York/New Jersey</v>
      </c>
      <c r="I11" s="700"/>
      <c r="J11" s="86">
        <v>4</v>
      </c>
      <c r="K11" s="699" t="str">
        <f>VLOOKUP(J11,Matches!$B$4:$K$113,7,0)</f>
        <v>Los Angeles</v>
      </c>
      <c r="L11" s="700"/>
      <c r="M11" s="86">
        <v>10</v>
      </c>
      <c r="N11" s="699" t="str">
        <f>VLOOKUP(M11,Matches!$B$4:$K$113,7,0)</f>
        <v>Houston</v>
      </c>
      <c r="O11" s="700"/>
      <c r="P11" s="86">
        <v>11</v>
      </c>
      <c r="Q11" s="699" t="str">
        <f>VLOOKUP(P11,Matches!$B$4:$K$113,7,0)</f>
        <v>Dallas</v>
      </c>
      <c r="R11" s="700"/>
      <c r="S11" s="86">
        <v>16</v>
      </c>
      <c r="T11" s="699" t="str">
        <f>VLOOKUP(S11,Matches!$B$4:$K$113,7,0)</f>
        <v>Seattle</v>
      </c>
      <c r="U11" s="700"/>
      <c r="V11" s="86">
        <v>14</v>
      </c>
      <c r="W11" s="699" t="str">
        <f>VLOOKUP(V11,Matches!$B$4:$K$113,7,0)</f>
        <v>Atlanta</v>
      </c>
      <c r="X11" s="700"/>
      <c r="Y11" s="86">
        <v>17</v>
      </c>
      <c r="Z11" s="699" t="str">
        <f>VLOOKUP(Y11,Matches!$B$4:$K$113,7,0)</f>
        <v>New York/New Jersey</v>
      </c>
      <c r="AA11" s="700"/>
      <c r="AB11" s="86">
        <v>19</v>
      </c>
      <c r="AC11" s="699" t="str">
        <f>VLOOKUP(AB11,Matches!$B$4:$K$113,7,0)</f>
        <v>Kansas City</v>
      </c>
      <c r="AD11" s="700"/>
      <c r="AE11" s="86">
        <v>23</v>
      </c>
      <c r="AF11" s="699" t="str">
        <f>VLOOKUP(AE11,Matches!$B$4:$K$113,7,0)</f>
        <v>Houston</v>
      </c>
      <c r="AG11" s="700"/>
      <c r="AH11" s="86">
        <v>22</v>
      </c>
      <c r="AI11" s="699" t="str">
        <f>VLOOKUP(AH11,Matches!$B$4:$K$113,7,0)</f>
        <v>Dallas</v>
      </c>
      <c r="AJ11" s="700"/>
      <c r="AK11" s="272"/>
      <c r="AL11" s="277"/>
      <c r="AM11" s="277"/>
      <c r="AN11" s="272"/>
      <c r="AO11" s="277"/>
      <c r="AP11" s="277"/>
      <c r="AQ11" s="272"/>
      <c r="AR11" s="277"/>
      <c r="AS11" s="277"/>
      <c r="AT11" s="272"/>
      <c r="AU11" s="277"/>
      <c r="AV11" s="277"/>
    </row>
    <row r="12" spans="1:52" x14ac:dyDescent="0.25">
      <c r="A12" s="4"/>
      <c r="B12" s="697">
        <f>VLOOKUP(A11,Matches!$B$4:$K$113,5,0)</f>
        <v>46184.875</v>
      </c>
      <c r="C12" s="698"/>
      <c r="D12" s="4"/>
      <c r="E12" s="697">
        <f>VLOOKUP(D11,Matches!$B$4:$K$113,5,0)</f>
        <v>46185.875</v>
      </c>
      <c r="F12" s="698"/>
      <c r="G12" s="4"/>
      <c r="H12" s="697">
        <f>VLOOKUP(G11,Matches!$B$4:$K$113,5,0)</f>
        <v>46187</v>
      </c>
      <c r="I12" s="698"/>
      <c r="J12" s="4"/>
      <c r="K12" s="697">
        <f>VLOOKUP(J11,Matches!$B$4:$K$113,5,0)</f>
        <v>46186.125</v>
      </c>
      <c r="L12" s="698"/>
      <c r="M12" s="4"/>
      <c r="N12" s="697">
        <f>VLOOKUP(M11,Matches!$B$4:$K$113,5,0)</f>
        <v>46187.791666666664</v>
      </c>
      <c r="O12" s="698"/>
      <c r="P12" s="4"/>
      <c r="Q12" s="697">
        <f>VLOOKUP(P11,Matches!$B$4:$K$113,5,0)</f>
        <v>46187.916666666664</v>
      </c>
      <c r="R12" s="698"/>
      <c r="S12" s="4"/>
      <c r="T12" s="697">
        <f>VLOOKUP(S11,Matches!$B$4:$K$113,5,0)</f>
        <v>46188.875</v>
      </c>
      <c r="U12" s="698"/>
      <c r="V12" s="4"/>
      <c r="W12" s="697">
        <f>VLOOKUP(V11,Matches!$B$4:$K$113,5,0)</f>
        <v>46188.75</v>
      </c>
      <c r="X12" s="698"/>
      <c r="Y12" s="4"/>
      <c r="Z12" s="697">
        <f>VLOOKUP(Y11,Matches!$B$4:$K$113,5,0)</f>
        <v>46189.875</v>
      </c>
      <c r="AA12" s="698"/>
      <c r="AB12" s="4"/>
      <c r="AC12" s="697">
        <f>VLOOKUP(AB11,Matches!$B$4:$K$113,5,0)</f>
        <v>46190.125</v>
      </c>
      <c r="AD12" s="698"/>
      <c r="AE12" s="4"/>
      <c r="AF12" s="697">
        <f>VLOOKUP(AE11,Matches!$B$4:$K$113,5,0)</f>
        <v>46190.791666666664</v>
      </c>
      <c r="AG12" s="698"/>
      <c r="AH12" s="4"/>
      <c r="AI12" s="697">
        <f>VLOOKUP(AH11,Matches!$B$4:$K$113,5,0)</f>
        <v>46190.916666666664</v>
      </c>
      <c r="AJ12" s="698"/>
      <c r="AK12" s="18"/>
      <c r="AL12" s="278"/>
      <c r="AM12" s="278"/>
      <c r="AN12" s="18"/>
      <c r="AO12" s="278"/>
      <c r="AP12" s="278"/>
      <c r="AQ12" s="18"/>
      <c r="AR12" s="278"/>
      <c r="AS12" s="278"/>
      <c r="AT12" s="18"/>
      <c r="AU12" s="278"/>
      <c r="AV12" s="278"/>
    </row>
    <row r="13" spans="1:52" x14ac:dyDescent="0.25">
      <c r="A13" s="4"/>
      <c r="B13" s="41" t="str">
        <f>VLOOKUP(A11,Matches!$B$4:$K$113,8,0)</f>
        <v>Mexiko</v>
      </c>
      <c r="C13" s="42" t="str">
        <f>VLOOKUP(A11,Matches!$B$4:$K$113,9,0)</f>
        <v>Südafrika</v>
      </c>
      <c r="D13" s="4"/>
      <c r="E13" s="41" t="str">
        <f>VLOOKUP(D11,Matches!$B$4:$K$113,8,0)</f>
        <v>Kanada</v>
      </c>
      <c r="F13" s="42" t="str">
        <f>VLOOKUP(D11,Matches!$B$4:$K$113,9,0)</f>
        <v>Bosnien/Herzeg.</v>
      </c>
      <c r="G13" s="4"/>
      <c r="H13" s="41" t="str">
        <f>VLOOKUP(G11,Matches!$B$4:$K$113,8,0)</f>
        <v>Brasilien</v>
      </c>
      <c r="I13" s="42" t="str">
        <f>VLOOKUP(G11,Matches!$B$4:$K$113,9,0)</f>
        <v>Marokko</v>
      </c>
      <c r="J13" s="4"/>
      <c r="K13" s="41" t="str">
        <f>VLOOKUP(J11,Matches!$B$4:$K$113,8,0)</f>
        <v>USA</v>
      </c>
      <c r="L13" s="42" t="str">
        <f>VLOOKUP(J11,Matches!$B$4:$K$113,9,0)</f>
        <v>Paraguay</v>
      </c>
      <c r="M13" s="4"/>
      <c r="N13" s="41" t="str">
        <f>VLOOKUP(M11,Matches!$B$4:$K$113,8,0)</f>
        <v>Deutschland</v>
      </c>
      <c r="O13" s="42" t="str">
        <f>VLOOKUP(M11,Matches!$B$4:$K$113,9,0)</f>
        <v>Curaçao</v>
      </c>
      <c r="P13" s="4"/>
      <c r="Q13" s="41" t="str">
        <f>VLOOKUP(P11,Matches!$B$4:$K$113,8,0)</f>
        <v>Niederlande</v>
      </c>
      <c r="R13" s="42" t="str">
        <f>VLOOKUP(P11,Matches!$B$4:$K$113,9,0)</f>
        <v>Japan</v>
      </c>
      <c r="S13" s="4"/>
      <c r="T13" s="41" t="str">
        <f>VLOOKUP(S11,Matches!$B$4:$K$113,8,0)</f>
        <v>Belgien</v>
      </c>
      <c r="U13" s="42" t="str">
        <f>VLOOKUP(S11,Matches!$B$4:$K$113,9,0)</f>
        <v>Ägypten</v>
      </c>
      <c r="V13" s="4"/>
      <c r="W13" s="41" t="str">
        <f>VLOOKUP(V11,Matches!$B$4:$K$113,8,0)</f>
        <v>Spanien</v>
      </c>
      <c r="X13" s="42" t="str">
        <f>VLOOKUP(V11,Matches!$B$4:$K$113,9,0)</f>
        <v>Kap Verde</v>
      </c>
      <c r="Y13" s="4"/>
      <c r="Z13" s="41" t="str">
        <f>VLOOKUP(Y11,Matches!$B$4:$K$113,8,0)</f>
        <v>Frankreich</v>
      </c>
      <c r="AA13" s="42" t="str">
        <f>VLOOKUP(Y11,Matches!$B$4:$K$113,9,0)</f>
        <v>Senegal</v>
      </c>
      <c r="AB13" s="4"/>
      <c r="AC13" s="41" t="str">
        <f>VLOOKUP(AB11,Matches!$B$4:$K$113,8,0)</f>
        <v>Argentinien</v>
      </c>
      <c r="AD13" s="42" t="str">
        <f>VLOOKUP(AB11,Matches!$B$4:$K$113,9,0)</f>
        <v>Algerien</v>
      </c>
      <c r="AE13" s="4"/>
      <c r="AF13" s="41" t="str">
        <f>VLOOKUP(AE11,Matches!$B$4:$K$113,8,0)</f>
        <v>Portugal</v>
      </c>
      <c r="AG13" s="42" t="str">
        <f>VLOOKUP(AE11,Matches!$B$4:$K$113,9,0)</f>
        <v>DR Kongo</v>
      </c>
      <c r="AH13" s="4"/>
      <c r="AI13" s="41" t="str">
        <f>VLOOKUP(AH11,Matches!$B$4:$K$113,8,0)</f>
        <v>England</v>
      </c>
      <c r="AJ13" s="42" t="str">
        <f>VLOOKUP(AH11,Matches!$B$4:$K$113,9,0)</f>
        <v>Kroatien</v>
      </c>
      <c r="AK13" s="18"/>
      <c r="AL13" s="20"/>
      <c r="AM13" s="20"/>
      <c r="AN13" s="18"/>
      <c r="AO13" s="20"/>
      <c r="AP13" s="20"/>
      <c r="AQ13" s="18"/>
      <c r="AR13" s="20"/>
      <c r="AS13" s="20"/>
      <c r="AT13" s="18"/>
      <c r="AU13" s="20"/>
      <c r="AV13" s="20"/>
    </row>
    <row r="14" spans="1:52" ht="15.75" thickBot="1" x14ac:dyDescent="0.3">
      <c r="A14" s="4"/>
      <c r="B14" s="1"/>
      <c r="C14" s="2"/>
      <c r="D14" s="4"/>
      <c r="E14" s="1"/>
      <c r="F14" s="2"/>
      <c r="G14" s="4"/>
      <c r="H14" s="1"/>
      <c r="I14" s="2"/>
      <c r="J14" s="4"/>
      <c r="K14" s="1"/>
      <c r="L14" s="2"/>
      <c r="M14" s="4"/>
      <c r="N14" s="1"/>
      <c r="O14" s="2"/>
      <c r="P14" s="4"/>
      <c r="Q14" s="1"/>
      <c r="R14" s="2"/>
      <c r="S14" s="4"/>
      <c r="T14" s="1"/>
      <c r="U14" s="2"/>
      <c r="V14" s="4"/>
      <c r="W14" s="1"/>
      <c r="X14" s="2"/>
      <c r="Y14" s="4"/>
      <c r="Z14" s="1"/>
      <c r="AA14" s="2"/>
      <c r="AB14" s="4"/>
      <c r="AC14" s="1"/>
      <c r="AD14" s="2"/>
      <c r="AE14" s="4"/>
      <c r="AF14" s="1"/>
      <c r="AG14" s="2"/>
      <c r="AH14" s="4"/>
      <c r="AI14" s="1"/>
      <c r="AJ14" s="2"/>
      <c r="AK14" s="18"/>
      <c r="AL14" s="23"/>
      <c r="AM14" s="23"/>
      <c r="AN14" s="18"/>
      <c r="AO14" s="23"/>
      <c r="AP14" s="23"/>
      <c r="AQ14" s="18"/>
      <c r="AR14" s="23"/>
      <c r="AS14" s="23"/>
      <c r="AT14" s="18"/>
      <c r="AU14" s="23"/>
      <c r="AV14" s="23"/>
    </row>
    <row r="15" spans="1:52" ht="15.75" thickBot="1" x14ac:dyDescent="0.3">
      <c r="A15" s="4"/>
      <c r="B15" s="23"/>
      <c r="C15" s="23"/>
      <c r="D15" s="18"/>
      <c r="E15" s="23"/>
      <c r="F15" s="23"/>
      <c r="G15" s="18"/>
      <c r="H15" s="23"/>
      <c r="I15" s="23"/>
      <c r="J15" s="18"/>
      <c r="K15" s="23"/>
      <c r="L15" s="23"/>
      <c r="M15" s="18"/>
      <c r="N15" s="23"/>
      <c r="O15" s="23"/>
      <c r="P15" s="18"/>
      <c r="Q15" s="23"/>
      <c r="R15" s="23"/>
      <c r="S15" s="4"/>
      <c r="T15" s="23"/>
      <c r="U15" s="23"/>
      <c r="V15" s="18"/>
      <c r="W15" s="23"/>
      <c r="X15" s="23"/>
      <c r="Y15" s="4"/>
      <c r="Z15" s="23"/>
      <c r="AA15" s="23"/>
      <c r="AB15" s="18"/>
      <c r="AC15" s="23"/>
      <c r="AD15" s="23"/>
      <c r="AE15" s="18"/>
      <c r="AF15" s="23"/>
      <c r="AG15" s="23"/>
      <c r="AH15" s="18"/>
      <c r="AI15" s="23"/>
      <c r="AJ15" s="23"/>
      <c r="AK15" s="18"/>
      <c r="AL15" s="23"/>
      <c r="AM15" s="23"/>
      <c r="AN15" s="18"/>
      <c r="AO15" s="23"/>
      <c r="AP15" s="23"/>
      <c r="AQ15" s="18"/>
      <c r="AR15" s="23"/>
      <c r="AS15" s="23"/>
      <c r="AT15" s="18"/>
      <c r="AU15" s="23"/>
      <c r="AV15" s="23"/>
    </row>
    <row r="16" spans="1:52" x14ac:dyDescent="0.25">
      <c r="A16" s="86">
        <v>2</v>
      </c>
      <c r="B16" s="699" t="str">
        <f>VLOOKUP(A16,Matches!$B$4:$K$113,7,0)</f>
        <v>Guadalajara</v>
      </c>
      <c r="C16" s="700"/>
      <c r="D16" s="86">
        <v>8</v>
      </c>
      <c r="E16" s="699" t="str">
        <f>VLOOKUP(D16,Matches!$B$4:$K$113,7,0)</f>
        <v>San Francisco Bay Area</v>
      </c>
      <c r="F16" s="700"/>
      <c r="G16" s="86">
        <v>5</v>
      </c>
      <c r="H16" s="699" t="str">
        <f>VLOOKUP(G16,Matches!$B$4:$K$113,7,0)</f>
        <v>Boston</v>
      </c>
      <c r="I16" s="700"/>
      <c r="J16" s="86">
        <v>6</v>
      </c>
      <c r="K16" s="699" t="str">
        <f>VLOOKUP(J16,Matches!$B$4:$K$113,7,0)</f>
        <v>Vancouver</v>
      </c>
      <c r="L16" s="700"/>
      <c r="M16" s="86">
        <v>9</v>
      </c>
      <c r="N16" s="699" t="str">
        <f>VLOOKUP(M16,Matches!$B$4:$K$113,7,0)</f>
        <v>Philadelphia</v>
      </c>
      <c r="O16" s="700"/>
      <c r="P16" s="86">
        <v>12</v>
      </c>
      <c r="Q16" s="699" t="str">
        <f>VLOOKUP(P16,Matches!$B$4:$K$113,7,0)</f>
        <v>Monterrey</v>
      </c>
      <c r="R16" s="700"/>
      <c r="S16" s="86">
        <v>15</v>
      </c>
      <c r="T16" s="699" t="str">
        <f>VLOOKUP(S16,Matches!$B$4:$K$113,7,0)</f>
        <v>Los Angeles</v>
      </c>
      <c r="U16" s="700"/>
      <c r="V16" s="86">
        <v>13</v>
      </c>
      <c r="W16" s="699" t="str">
        <f>VLOOKUP(V16,Matches!$B$4:$K$113,7,0)</f>
        <v>Miami</v>
      </c>
      <c r="X16" s="700"/>
      <c r="Y16" s="86">
        <v>18</v>
      </c>
      <c r="Z16" s="699" t="str">
        <f>VLOOKUP(Y16,Matches!$B$4:$K$113,7,0)</f>
        <v>Boston</v>
      </c>
      <c r="AA16" s="700"/>
      <c r="AB16" s="86">
        <v>20</v>
      </c>
      <c r="AC16" s="699" t="str">
        <f>VLOOKUP(AB16,Matches!$B$4:$K$113,7,0)</f>
        <v>San Francisco Bay Area</v>
      </c>
      <c r="AD16" s="700"/>
      <c r="AE16" s="86">
        <v>24</v>
      </c>
      <c r="AF16" s="699" t="str">
        <f>VLOOKUP(AE16,Matches!$B$4:$K$113,7,0)</f>
        <v>Mexico City</v>
      </c>
      <c r="AG16" s="700"/>
      <c r="AH16" s="86">
        <v>21</v>
      </c>
      <c r="AI16" s="699" t="str">
        <f>VLOOKUP(AH16,Matches!$B$4:$K$113,7,0)</f>
        <v>Toronto</v>
      </c>
      <c r="AJ16" s="700"/>
      <c r="AK16" s="272"/>
      <c r="AL16" s="277"/>
      <c r="AM16" s="277"/>
      <c r="AN16" s="272"/>
      <c r="AO16" s="277"/>
      <c r="AP16" s="277"/>
      <c r="AQ16" s="272"/>
      <c r="AR16" s="277"/>
      <c r="AS16" s="277"/>
      <c r="AT16" s="272"/>
      <c r="AU16" s="277"/>
      <c r="AV16" s="277"/>
    </row>
    <row r="17" spans="1:48" x14ac:dyDescent="0.25">
      <c r="A17" s="4"/>
      <c r="B17" s="697">
        <f>VLOOKUP(A16,Matches!$B$4:$K$113,5,0)</f>
        <v>46185.166666666664</v>
      </c>
      <c r="C17" s="698"/>
      <c r="D17" s="4"/>
      <c r="E17" s="697">
        <f>VLOOKUP(D16,Matches!$B$4:$K$113,5,0)</f>
        <v>46186.875</v>
      </c>
      <c r="F17" s="698"/>
      <c r="G17" s="4"/>
      <c r="H17" s="697">
        <f>VLOOKUP(G16,Matches!$B$4:$K$113,5,0)</f>
        <v>46187.125</v>
      </c>
      <c r="I17" s="698"/>
      <c r="J17" s="4"/>
      <c r="K17" s="697">
        <f>VLOOKUP(J16,Matches!$B$4:$K$113,5,0)</f>
        <v>46187.25</v>
      </c>
      <c r="L17" s="698"/>
      <c r="M17" s="4"/>
      <c r="N17" s="697">
        <f>VLOOKUP(M16,Matches!$B$4:$K$113,5,0)</f>
        <v>46188.041666666664</v>
      </c>
      <c r="O17" s="698"/>
      <c r="P17" s="4"/>
      <c r="Q17" s="697">
        <f>VLOOKUP(P16,Matches!$B$4:$K$113,5,0)</f>
        <v>46188.166666666664</v>
      </c>
      <c r="R17" s="698"/>
      <c r="S17" s="4"/>
      <c r="T17" s="697">
        <f>VLOOKUP(S16,Matches!$B$4:$K$113,5,0)</f>
        <v>46189.125</v>
      </c>
      <c r="U17" s="698"/>
      <c r="V17" s="4"/>
      <c r="W17" s="697">
        <f>VLOOKUP(V16,Matches!$B$4:$K$113,5,0)</f>
        <v>46189</v>
      </c>
      <c r="X17" s="698"/>
      <c r="Y17" s="4"/>
      <c r="Z17" s="697">
        <f>VLOOKUP(Y16,Matches!$B$4:$K$113,5,0)</f>
        <v>46190</v>
      </c>
      <c r="AA17" s="698"/>
      <c r="AB17" s="4"/>
      <c r="AC17" s="697">
        <f>VLOOKUP(AB16,Matches!$B$4:$K$113,5,0)</f>
        <v>46190.25</v>
      </c>
      <c r="AD17" s="698"/>
      <c r="AE17" s="4"/>
      <c r="AF17" s="697">
        <f>VLOOKUP(AE16,Matches!$B$4:$K$113,5,0)</f>
        <v>46191.166666666664</v>
      </c>
      <c r="AG17" s="698"/>
      <c r="AH17" s="4"/>
      <c r="AI17" s="697">
        <f>VLOOKUP(AH16,Matches!$B$4:$K$113,5,0)</f>
        <v>46191.041666666664</v>
      </c>
      <c r="AJ17" s="698"/>
      <c r="AK17" s="18"/>
      <c r="AL17" s="278"/>
      <c r="AM17" s="278"/>
      <c r="AN17" s="18"/>
      <c r="AO17" s="278"/>
      <c r="AP17" s="278"/>
      <c r="AQ17" s="18"/>
      <c r="AR17" s="278"/>
      <c r="AS17" s="278"/>
      <c r="AT17" s="18"/>
      <c r="AU17" s="278"/>
      <c r="AV17" s="278"/>
    </row>
    <row r="18" spans="1:48" x14ac:dyDescent="0.25">
      <c r="A18" s="4"/>
      <c r="B18" s="41" t="str">
        <f>VLOOKUP(A16,Matches!$B$4:$K$113,8,0)</f>
        <v>Südkorea</v>
      </c>
      <c r="C18" s="42" t="str">
        <f>VLOOKUP(A16,Matches!$B$4:$K$113,9,0)</f>
        <v>Tschechien</v>
      </c>
      <c r="D18" s="4"/>
      <c r="E18" s="41" t="str">
        <f>VLOOKUP(D16,Matches!$B$4:$K$113,8,0)</f>
        <v>Katar</v>
      </c>
      <c r="F18" s="42" t="str">
        <f>VLOOKUP(D16,Matches!$B$4:$K$113,9,0)</f>
        <v>Schweiz</v>
      </c>
      <c r="G18" s="4"/>
      <c r="H18" s="41" t="str">
        <f>VLOOKUP(G16,Matches!$B$4:$K$113,8,0)</f>
        <v>Haiti</v>
      </c>
      <c r="I18" s="42" t="str">
        <f>VLOOKUP(G16,Matches!$B$4:$K$113,9,0)</f>
        <v>Schottland</v>
      </c>
      <c r="J18" s="4"/>
      <c r="K18" s="41" t="str">
        <f>VLOOKUP(J16,Matches!$B$4:$K$113,8,0)</f>
        <v>Australien</v>
      </c>
      <c r="L18" s="42" t="str">
        <f>VLOOKUP(J16,Matches!$B$4:$K$113,9,0)</f>
        <v>Türkei</v>
      </c>
      <c r="M18" s="4"/>
      <c r="N18" s="41" t="str">
        <f>VLOOKUP(M16,Matches!$B$4:$K$113,8,0)</f>
        <v>Elfenbeinküste</v>
      </c>
      <c r="O18" s="42" t="str">
        <f>VLOOKUP(M16,Matches!$B$4:$K$113,9,0)</f>
        <v>Ecuador</v>
      </c>
      <c r="P18" s="4"/>
      <c r="Q18" s="41" t="str">
        <f>VLOOKUP(P16,Matches!$B$4:$K$113,8,0)</f>
        <v>Schweden</v>
      </c>
      <c r="R18" s="42" t="str">
        <f>VLOOKUP(P16,Matches!$B$4:$K$113,9,0)</f>
        <v>Tunesien</v>
      </c>
      <c r="S18" s="4"/>
      <c r="T18" s="41" t="str">
        <f>VLOOKUP(S16,Matches!$B$4:$K$113,8,0)</f>
        <v>IR Iran</v>
      </c>
      <c r="U18" s="42" t="str">
        <f>VLOOKUP(S16,Matches!$B$4:$K$113,9,0)</f>
        <v>Neuseeland</v>
      </c>
      <c r="V18" s="4"/>
      <c r="W18" s="41" t="str">
        <f>VLOOKUP(V16,Matches!$B$4:$K$113,8,0)</f>
        <v>Saudiarabien</v>
      </c>
      <c r="X18" s="42" t="str">
        <f>VLOOKUP(V16,Matches!$B$4:$K$113,9,0)</f>
        <v>Uruguay</v>
      </c>
      <c r="Y18" s="4"/>
      <c r="Z18" s="41" t="str">
        <f>VLOOKUP(Y16,Matches!$B$4:$K$113,8,0)</f>
        <v>Irak</v>
      </c>
      <c r="AA18" s="42" t="str">
        <f>VLOOKUP(Y16,Matches!$B$4:$K$113,9,0)</f>
        <v>Norwegen</v>
      </c>
      <c r="AB18" s="4"/>
      <c r="AC18" s="41" t="str">
        <f>VLOOKUP(AB16,Matches!$B$4:$K$113,8,0)</f>
        <v>Österreich</v>
      </c>
      <c r="AD18" s="42" t="str">
        <f>VLOOKUP(AB16,Matches!$B$4:$K$113,9,0)</f>
        <v>Jordanien</v>
      </c>
      <c r="AE18" s="4"/>
      <c r="AF18" s="41" t="str">
        <f>VLOOKUP(AE16,Matches!$B$4:$K$113,8,0)</f>
        <v>Usbekistan</v>
      </c>
      <c r="AG18" s="42" t="str">
        <f>VLOOKUP(AE16,Matches!$B$4:$K$113,9,0)</f>
        <v>Kolumbien</v>
      </c>
      <c r="AH18" s="4"/>
      <c r="AI18" s="41" t="str">
        <f>VLOOKUP(AH16,Matches!$B$4:$K$113,8,0)</f>
        <v>Ghana</v>
      </c>
      <c r="AJ18" s="42" t="str">
        <f>VLOOKUP(AH16,Matches!$B$4:$K$113,9,0)</f>
        <v>Panama</v>
      </c>
      <c r="AK18" s="18"/>
      <c r="AL18" s="20"/>
      <c r="AM18" s="20"/>
      <c r="AN18" s="18"/>
      <c r="AO18" s="20"/>
      <c r="AP18" s="20"/>
      <c r="AQ18" s="18"/>
      <c r="AR18" s="20"/>
      <c r="AS18" s="20"/>
      <c r="AT18" s="18"/>
      <c r="AU18" s="20"/>
      <c r="AV18" s="20"/>
    </row>
    <row r="19" spans="1:48" ht="15.75" thickBot="1" x14ac:dyDescent="0.3">
      <c r="A19" s="4"/>
      <c r="B19" s="1"/>
      <c r="C19" s="2"/>
      <c r="D19" s="4"/>
      <c r="E19" s="1"/>
      <c r="F19" s="2"/>
      <c r="G19" s="4"/>
      <c r="H19" s="1"/>
      <c r="I19" s="2"/>
      <c r="J19" s="4"/>
      <c r="K19" s="1"/>
      <c r="L19" s="2"/>
      <c r="M19" s="4"/>
      <c r="N19" s="1"/>
      <c r="O19" s="2"/>
      <c r="P19" s="4"/>
      <c r="Q19" s="1"/>
      <c r="R19" s="2"/>
      <c r="S19" s="4"/>
      <c r="T19" s="1"/>
      <c r="U19" s="2"/>
      <c r="V19" s="4"/>
      <c r="W19" s="1"/>
      <c r="X19" s="2"/>
      <c r="Y19" s="4"/>
      <c r="Z19" s="1"/>
      <c r="AA19" s="2"/>
      <c r="AB19" s="4"/>
      <c r="AC19" s="1"/>
      <c r="AD19" s="2"/>
      <c r="AE19" s="4"/>
      <c r="AF19" s="1"/>
      <c r="AG19" s="2"/>
      <c r="AH19" s="4"/>
      <c r="AI19" s="1"/>
      <c r="AJ19" s="2"/>
      <c r="AK19" s="18"/>
      <c r="AL19" s="23"/>
      <c r="AM19" s="23"/>
      <c r="AN19" s="18"/>
      <c r="AO19" s="23"/>
      <c r="AP19" s="23"/>
      <c r="AQ19" s="18"/>
      <c r="AR19" s="23"/>
      <c r="AS19" s="23"/>
      <c r="AT19" s="18"/>
      <c r="AU19" s="23"/>
      <c r="AV19" s="23"/>
    </row>
    <row r="20" spans="1:48" ht="15.75" thickBot="1" x14ac:dyDescent="0.3">
      <c r="A20" s="4"/>
      <c r="B20" s="23"/>
      <c r="C20" s="23"/>
      <c r="D20" s="18"/>
      <c r="E20" s="23"/>
      <c r="F20" s="23"/>
      <c r="G20" s="18"/>
      <c r="H20" s="23"/>
      <c r="I20" s="23"/>
      <c r="J20" s="18"/>
      <c r="K20" s="23"/>
      <c r="L20" s="23"/>
      <c r="M20" s="18"/>
      <c r="N20" s="23"/>
      <c r="O20" s="23"/>
      <c r="P20" s="18"/>
      <c r="Q20" s="23"/>
      <c r="R20" s="23"/>
      <c r="S20" s="4"/>
      <c r="T20" s="23"/>
      <c r="U20" s="23"/>
      <c r="V20" s="18"/>
      <c r="W20" s="23"/>
      <c r="X20" s="23"/>
      <c r="Y20" s="4"/>
      <c r="Z20" s="23"/>
      <c r="AA20" s="23"/>
      <c r="AB20" s="18"/>
      <c r="AC20" s="23"/>
      <c r="AD20" s="23"/>
      <c r="AE20" s="18"/>
      <c r="AF20" s="23"/>
      <c r="AG20" s="23"/>
      <c r="AH20" s="18"/>
      <c r="AI20" s="23"/>
      <c r="AJ20" s="23"/>
      <c r="AK20" s="18"/>
      <c r="AL20" s="23"/>
      <c r="AM20" s="23"/>
      <c r="AN20" s="18"/>
      <c r="AO20" s="23"/>
      <c r="AP20" s="23"/>
      <c r="AQ20" s="18"/>
      <c r="AR20" s="23"/>
      <c r="AS20" s="23"/>
      <c r="AT20" s="18"/>
      <c r="AU20" s="23"/>
      <c r="AV20" s="23"/>
    </row>
    <row r="21" spans="1:48" x14ac:dyDescent="0.25">
      <c r="A21" s="86">
        <v>25</v>
      </c>
      <c r="B21" s="699" t="str">
        <f>VLOOKUP(A21,Matches!$B$4:$K$113,7,0)</f>
        <v>Atlanta</v>
      </c>
      <c r="C21" s="700"/>
      <c r="D21" s="86">
        <v>26</v>
      </c>
      <c r="E21" s="699" t="str">
        <f>VLOOKUP(D21,Matches!$B$4:$K$113,7,0)</f>
        <v>Los Angeles</v>
      </c>
      <c r="F21" s="700"/>
      <c r="G21" s="86">
        <v>30</v>
      </c>
      <c r="H21" s="699" t="str">
        <f>VLOOKUP(G21,Matches!$B$4:$K$113,7,0)</f>
        <v>Boston</v>
      </c>
      <c r="I21" s="700"/>
      <c r="J21" s="86">
        <v>32</v>
      </c>
      <c r="K21" s="699" t="str">
        <f>VLOOKUP(J21,Matches!$B$4:$K$113,7,0)</f>
        <v>Seattle</v>
      </c>
      <c r="L21" s="700"/>
      <c r="M21" s="86">
        <v>33</v>
      </c>
      <c r="N21" s="699" t="str">
        <f>VLOOKUP(M21,Matches!$B$4:$K$113,7,0)</f>
        <v>Toronto</v>
      </c>
      <c r="O21" s="700"/>
      <c r="P21" s="86">
        <v>35</v>
      </c>
      <c r="Q21" s="699" t="str">
        <f>VLOOKUP(P21,Matches!$B$4:$K$113,7,0)</f>
        <v>Houston</v>
      </c>
      <c r="R21" s="700"/>
      <c r="S21" s="86">
        <v>39</v>
      </c>
      <c r="T21" s="699" t="str">
        <f>VLOOKUP(S21,Matches!$B$4:$K$113,7,0)</f>
        <v>Los Angeles</v>
      </c>
      <c r="U21" s="700"/>
      <c r="V21" s="86">
        <v>38</v>
      </c>
      <c r="W21" s="699" t="str">
        <f>VLOOKUP(V21,Matches!$B$4:$K$113,7,0)</f>
        <v>Atlanta</v>
      </c>
      <c r="X21" s="700"/>
      <c r="Y21" s="86">
        <v>42</v>
      </c>
      <c r="Z21" s="699" t="str">
        <f>VLOOKUP(Y21,Matches!$B$4:$K$113,7,0)</f>
        <v>Philadelphia</v>
      </c>
      <c r="AA21" s="700"/>
      <c r="AB21" s="86">
        <v>43</v>
      </c>
      <c r="AC21" s="699" t="str">
        <f>VLOOKUP(AB21,Matches!$B$4:$K$113,7,0)</f>
        <v>Dallas</v>
      </c>
      <c r="AD21" s="700"/>
      <c r="AE21" s="86">
        <v>47</v>
      </c>
      <c r="AF21" s="699" t="str">
        <f>VLOOKUP(AE21,Matches!$B$4:$K$113,7,0)</f>
        <v>Houston</v>
      </c>
      <c r="AG21" s="700"/>
      <c r="AH21" s="86">
        <v>45</v>
      </c>
      <c r="AI21" s="699" t="str">
        <f>VLOOKUP(AH21,Matches!$B$4:$K$113,7,0)</f>
        <v>Boston</v>
      </c>
      <c r="AJ21" s="700"/>
      <c r="AK21" s="272"/>
      <c r="AL21" s="277"/>
      <c r="AM21" s="277"/>
      <c r="AN21" s="272"/>
      <c r="AO21" s="277"/>
      <c r="AP21" s="277"/>
      <c r="AQ21" s="272"/>
      <c r="AR21" s="277"/>
      <c r="AS21" s="277"/>
      <c r="AT21" s="272"/>
      <c r="AU21" s="277"/>
      <c r="AV21" s="277"/>
    </row>
    <row r="22" spans="1:48" x14ac:dyDescent="0.25">
      <c r="A22" s="4"/>
      <c r="B22" s="697">
        <f>VLOOKUP(A21,Matches!$B$4:$K$113,5,0)</f>
        <v>46191.75</v>
      </c>
      <c r="C22" s="698"/>
      <c r="D22" s="4"/>
      <c r="E22" s="697">
        <f>VLOOKUP(D21,Matches!$B$4:$K$113,5,0)</f>
        <v>46191.875</v>
      </c>
      <c r="F22" s="698"/>
      <c r="G22" s="4"/>
      <c r="H22" s="697">
        <f>VLOOKUP(G21,Matches!$B$4:$K$113,5,0)</f>
        <v>46193</v>
      </c>
      <c r="I22" s="698"/>
      <c r="J22" s="4"/>
      <c r="K22" s="697">
        <f>VLOOKUP(J21,Matches!$B$4:$K$113,5,0)</f>
        <v>46192.875</v>
      </c>
      <c r="L22" s="698"/>
      <c r="M22" s="4"/>
      <c r="N22" s="697">
        <f>VLOOKUP(M21,Matches!$B$4:$K$113,5,0)</f>
        <v>46193.916666666664</v>
      </c>
      <c r="O22" s="698"/>
      <c r="P22" s="4"/>
      <c r="Q22" s="697">
        <f>VLOOKUP(P21,Matches!$B$4:$K$113,5,0)</f>
        <v>46193.791666666664</v>
      </c>
      <c r="R22" s="698"/>
      <c r="S22" s="4"/>
      <c r="T22" s="697">
        <f>VLOOKUP(S21,Matches!$B$4:$K$113,5,0)</f>
        <v>46194.875</v>
      </c>
      <c r="U22" s="698"/>
      <c r="V22" s="4"/>
      <c r="W22" s="697">
        <f>VLOOKUP(V21,Matches!$B$4:$K$113,5,0)</f>
        <v>46194.75</v>
      </c>
      <c r="X22" s="698"/>
      <c r="Y22" s="4"/>
      <c r="Z22" s="697">
        <f>VLOOKUP(Y21,Matches!$B$4:$K$113,5,0)</f>
        <v>46195.958333333336</v>
      </c>
      <c r="AA22" s="698"/>
      <c r="AB22" s="4"/>
      <c r="AC22" s="697">
        <f>VLOOKUP(AB21,Matches!$B$4:$K$113,5,0)</f>
        <v>46195.791666666664</v>
      </c>
      <c r="AD22" s="698"/>
      <c r="AE22" s="4"/>
      <c r="AF22" s="697">
        <f>VLOOKUP(AE21,Matches!$B$4:$K$113,5,0)</f>
        <v>46196.791666666664</v>
      </c>
      <c r="AG22" s="698"/>
      <c r="AH22" s="4"/>
      <c r="AI22" s="697">
        <f>VLOOKUP(AH21,Matches!$B$4:$K$113,5,0)</f>
        <v>46196.916666666664</v>
      </c>
      <c r="AJ22" s="698"/>
      <c r="AK22" s="18"/>
      <c r="AL22" s="278"/>
      <c r="AM22" s="278"/>
      <c r="AN22" s="18"/>
      <c r="AO22" s="278"/>
      <c r="AP22" s="278"/>
      <c r="AQ22" s="18"/>
      <c r="AR22" s="278"/>
      <c r="AS22" s="278"/>
      <c r="AT22" s="18"/>
      <c r="AU22" s="278"/>
      <c r="AV22" s="278"/>
    </row>
    <row r="23" spans="1:48" x14ac:dyDescent="0.25">
      <c r="A23" s="4"/>
      <c r="B23" s="41" t="str">
        <f>VLOOKUP(A21,Matches!$B$4:$K$113,8,0)</f>
        <v>Tschechien</v>
      </c>
      <c r="C23" s="42" t="str">
        <f>VLOOKUP(A21,Matches!$B$4:$K$113,9,0)</f>
        <v>Südafrika</v>
      </c>
      <c r="D23" s="4"/>
      <c r="E23" s="41" t="str">
        <f>VLOOKUP(D21,Matches!$B$4:$K$113,8,0)</f>
        <v>Schweiz</v>
      </c>
      <c r="F23" s="42" t="str">
        <f>VLOOKUP(D21,Matches!$B$4:$K$113,9,0)</f>
        <v>Bosnien/Herzeg.</v>
      </c>
      <c r="G23" s="4"/>
      <c r="H23" s="41" t="str">
        <f>VLOOKUP(G21,Matches!$B$4:$K$113,8,0)</f>
        <v>Schottland</v>
      </c>
      <c r="I23" s="42" t="str">
        <f>VLOOKUP(G21,Matches!$B$4:$K$113,9,0)</f>
        <v>Marokko</v>
      </c>
      <c r="J23" s="4"/>
      <c r="K23" s="41" t="str">
        <f>VLOOKUP(J21,Matches!$B$4:$K$113,8,0)</f>
        <v>USA</v>
      </c>
      <c r="L23" s="42" t="str">
        <f>VLOOKUP(J21,Matches!$B$4:$K$113,9,0)</f>
        <v>Australien</v>
      </c>
      <c r="M23" s="4"/>
      <c r="N23" s="41" t="str">
        <f>VLOOKUP(M21,Matches!$B$4:$K$113,8,0)</f>
        <v>Deutschland</v>
      </c>
      <c r="O23" s="42" t="str">
        <f>VLOOKUP(M21,Matches!$B$4:$K$113,9,0)</f>
        <v>Elfenbeinküste</v>
      </c>
      <c r="P23" s="4"/>
      <c r="Q23" s="41" t="str">
        <f>VLOOKUP(P21,Matches!$B$4:$K$113,8,0)</f>
        <v>Niederlande</v>
      </c>
      <c r="R23" s="42" t="str">
        <f>VLOOKUP(P21,Matches!$B$4:$K$113,9,0)</f>
        <v>Schweden</v>
      </c>
      <c r="S23" s="4"/>
      <c r="T23" s="41" t="str">
        <f>VLOOKUP(S21,Matches!$B$4:$K$113,8,0)</f>
        <v>Belgien</v>
      </c>
      <c r="U23" s="42" t="str">
        <f>VLOOKUP(S21,Matches!$B$4:$K$113,9,0)</f>
        <v>IR Iran</v>
      </c>
      <c r="V23" s="4"/>
      <c r="W23" s="41" t="str">
        <f>VLOOKUP(V21,Matches!$B$4:$K$113,8,0)</f>
        <v>Spanien</v>
      </c>
      <c r="X23" s="42" t="str">
        <f>VLOOKUP(V21,Matches!$B$4:$K$113,9,0)</f>
        <v>Saudiarabien</v>
      </c>
      <c r="Y23" s="4"/>
      <c r="Z23" s="41" t="str">
        <f>VLOOKUP(Y21,Matches!$B$4:$K$113,8,0)</f>
        <v>Frankreich</v>
      </c>
      <c r="AA23" s="42" t="str">
        <f>VLOOKUP(Y21,Matches!$B$4:$K$113,9,0)</f>
        <v>Irak</v>
      </c>
      <c r="AB23" s="4"/>
      <c r="AC23" s="41" t="str">
        <f>VLOOKUP(AB21,Matches!$B$4:$K$113,8,0)</f>
        <v>Argentinien</v>
      </c>
      <c r="AD23" s="42" t="str">
        <f>VLOOKUP(AB21,Matches!$B$4:$K$113,9,0)</f>
        <v>Österreich</v>
      </c>
      <c r="AE23" s="4"/>
      <c r="AF23" s="41" t="str">
        <f>VLOOKUP(AE21,Matches!$B$4:$K$113,8,0)</f>
        <v>Portugal</v>
      </c>
      <c r="AG23" s="42" t="str">
        <f>VLOOKUP(AE21,Matches!$B$4:$K$113,9,0)</f>
        <v>Usbekistan</v>
      </c>
      <c r="AH23" s="4"/>
      <c r="AI23" s="41" t="str">
        <f>VLOOKUP(AH21,Matches!$B$4:$K$113,8,0)</f>
        <v>England</v>
      </c>
      <c r="AJ23" s="42" t="str">
        <f>VLOOKUP(AH21,Matches!$B$4:$K$113,9,0)</f>
        <v>Ghana</v>
      </c>
      <c r="AK23" s="18"/>
      <c r="AL23" s="20"/>
      <c r="AM23" s="20"/>
      <c r="AN23" s="18"/>
      <c r="AO23" s="20"/>
      <c r="AP23" s="20"/>
      <c r="AQ23" s="18"/>
      <c r="AR23" s="20"/>
      <c r="AS23" s="20"/>
      <c r="AT23" s="18"/>
      <c r="AU23" s="20"/>
      <c r="AV23" s="20"/>
    </row>
    <row r="24" spans="1:48" ht="15.75" thickBot="1" x14ac:dyDescent="0.3">
      <c r="A24" s="4"/>
      <c r="B24" s="1"/>
      <c r="C24" s="2"/>
      <c r="D24" s="4"/>
      <c r="E24" s="1"/>
      <c r="F24" s="2"/>
      <c r="G24" s="4"/>
      <c r="H24" s="1"/>
      <c r="I24" s="2"/>
      <c r="J24" s="4"/>
      <c r="K24" s="1"/>
      <c r="L24" s="2"/>
      <c r="M24" s="4"/>
      <c r="N24" s="1"/>
      <c r="O24" s="2"/>
      <c r="P24" s="4"/>
      <c r="Q24" s="1"/>
      <c r="R24" s="2"/>
      <c r="S24" s="4"/>
      <c r="T24" s="1"/>
      <c r="U24" s="2"/>
      <c r="V24" s="4"/>
      <c r="W24" s="1"/>
      <c r="X24" s="2"/>
      <c r="Y24" s="4"/>
      <c r="Z24" s="1"/>
      <c r="AA24" s="2"/>
      <c r="AB24" s="4"/>
      <c r="AC24" s="1"/>
      <c r="AD24" s="2"/>
      <c r="AE24" s="4"/>
      <c r="AF24" s="1"/>
      <c r="AG24" s="2"/>
      <c r="AH24" s="4"/>
      <c r="AI24" s="1"/>
      <c r="AJ24" s="2"/>
      <c r="AK24" s="18"/>
      <c r="AL24" s="23"/>
      <c r="AM24" s="23"/>
      <c r="AN24" s="18"/>
      <c r="AO24" s="23"/>
      <c r="AP24" s="23"/>
      <c r="AQ24" s="18"/>
      <c r="AR24" s="23"/>
      <c r="AS24" s="23"/>
      <c r="AT24" s="18"/>
      <c r="AU24" s="23"/>
      <c r="AV24" s="23"/>
    </row>
    <row r="25" spans="1:48" ht="19.5" thickBot="1" x14ac:dyDescent="0.35">
      <c r="A25" s="4"/>
      <c r="B25" s="39"/>
      <c r="C25" s="39"/>
      <c r="D25" s="40"/>
      <c r="E25" s="39"/>
      <c r="F25" s="39"/>
      <c r="G25" s="18"/>
      <c r="H25" s="39"/>
      <c r="I25" s="39"/>
      <c r="J25" s="18"/>
      <c r="K25" s="39"/>
      <c r="L25" s="39"/>
      <c r="M25" s="18"/>
      <c r="N25" s="39"/>
      <c r="O25" s="39"/>
      <c r="P25" s="18"/>
      <c r="Q25" s="39"/>
      <c r="R25" s="39"/>
      <c r="S25" s="4"/>
      <c r="T25" s="39"/>
      <c r="U25" s="39"/>
      <c r="V25" s="18"/>
      <c r="W25" s="39"/>
      <c r="X25" s="39"/>
      <c r="Y25" s="4"/>
      <c r="Z25" s="39"/>
      <c r="AA25" s="39"/>
      <c r="AB25" s="40"/>
      <c r="AC25" s="39"/>
      <c r="AD25" s="39"/>
      <c r="AE25" s="18"/>
      <c r="AF25" s="39"/>
      <c r="AG25" s="39"/>
      <c r="AH25" s="18"/>
      <c r="AI25" s="39"/>
      <c r="AJ25" s="39"/>
      <c r="AK25" s="18"/>
      <c r="AL25" s="39"/>
      <c r="AM25" s="39"/>
      <c r="AN25" s="18"/>
      <c r="AO25" s="39"/>
      <c r="AP25" s="39"/>
      <c r="AQ25" s="18"/>
      <c r="AR25" s="39"/>
      <c r="AS25" s="39"/>
      <c r="AT25" s="18"/>
      <c r="AU25" s="39"/>
      <c r="AV25" s="39"/>
    </row>
    <row r="26" spans="1:48" x14ac:dyDescent="0.25">
      <c r="A26" s="86">
        <v>28</v>
      </c>
      <c r="B26" s="699" t="str">
        <f>VLOOKUP(A26,Matches!$B$4:$K$113,7,0)</f>
        <v>Guadalajara</v>
      </c>
      <c r="C26" s="700"/>
      <c r="D26" s="86">
        <v>27</v>
      </c>
      <c r="E26" s="699" t="str">
        <f>VLOOKUP(D26,Matches!$B$4:$K$113,7,0)</f>
        <v>Vancouver</v>
      </c>
      <c r="F26" s="700"/>
      <c r="G26" s="86">
        <v>29</v>
      </c>
      <c r="H26" s="699" t="str">
        <f>VLOOKUP(G26,Matches!$B$4:$K$113,7,0)</f>
        <v>Philadelphia</v>
      </c>
      <c r="I26" s="700"/>
      <c r="J26" s="86">
        <v>31</v>
      </c>
      <c r="K26" s="699" t="str">
        <f>VLOOKUP(J26,Matches!$B$4:$K$113,7,0)</f>
        <v>San Francisco Bay Area</v>
      </c>
      <c r="L26" s="700"/>
      <c r="M26" s="86">
        <v>34</v>
      </c>
      <c r="N26" s="699" t="str">
        <f>VLOOKUP(M26,Matches!$B$4:$K$113,7,0)</f>
        <v>Kansas City</v>
      </c>
      <c r="O26" s="700"/>
      <c r="P26" s="86">
        <v>36</v>
      </c>
      <c r="Q26" s="699" t="str">
        <f>VLOOKUP(P26,Matches!$B$4:$K$113,7,0)</f>
        <v>Monterrey</v>
      </c>
      <c r="R26" s="700"/>
      <c r="S26" s="86">
        <v>40</v>
      </c>
      <c r="T26" s="699" t="str">
        <f>VLOOKUP(S26,Matches!$B$4:$K$113,7,0)</f>
        <v>Vancouver</v>
      </c>
      <c r="U26" s="700"/>
      <c r="V26" s="86">
        <v>37</v>
      </c>
      <c r="W26" s="699" t="str">
        <f>VLOOKUP(V26,Matches!$B$4:$K$113,7,0)</f>
        <v>Miami</v>
      </c>
      <c r="X26" s="700"/>
      <c r="Y26" s="86">
        <v>41</v>
      </c>
      <c r="Z26" s="699" t="str">
        <f>VLOOKUP(Y26,Matches!$B$4:$K$113,7,0)</f>
        <v>New York/New Jersey</v>
      </c>
      <c r="AA26" s="700"/>
      <c r="AB26" s="86">
        <v>44</v>
      </c>
      <c r="AC26" s="699" t="str">
        <f>VLOOKUP(AB26,Matches!$B$4:$K$113,7,0)</f>
        <v>San Francisco Bay Area</v>
      </c>
      <c r="AD26" s="700"/>
      <c r="AE26" s="86">
        <v>48</v>
      </c>
      <c r="AF26" s="699" t="str">
        <f>VLOOKUP(AE26,Matches!$B$4:$K$113,7,0)</f>
        <v>Guadalajara</v>
      </c>
      <c r="AG26" s="700"/>
      <c r="AH26" s="86">
        <v>46</v>
      </c>
      <c r="AI26" s="699" t="str">
        <f>VLOOKUP(AH26,Matches!$B$4:$K$113,7,0)</f>
        <v>Toronto</v>
      </c>
      <c r="AJ26" s="700"/>
      <c r="AK26" s="272"/>
      <c r="AL26" s="277"/>
      <c r="AM26" s="277"/>
      <c r="AN26" s="272"/>
      <c r="AO26" s="277"/>
      <c r="AP26" s="277"/>
      <c r="AQ26" s="272"/>
      <c r="AR26" s="277"/>
      <c r="AS26" s="277"/>
      <c r="AT26" s="272"/>
      <c r="AU26" s="277"/>
      <c r="AV26" s="277"/>
    </row>
    <row r="27" spans="1:48" x14ac:dyDescent="0.25">
      <c r="A27" s="4"/>
      <c r="B27" s="697">
        <f>VLOOKUP(A26,Matches!$B$4:$K$113,5,0)</f>
        <v>46192.125</v>
      </c>
      <c r="C27" s="698"/>
      <c r="D27" s="4"/>
      <c r="E27" s="697">
        <f>VLOOKUP(D26,Matches!$B$4:$K$113,5,0)</f>
        <v>46192</v>
      </c>
      <c r="F27" s="698"/>
      <c r="G27" s="4"/>
      <c r="H27" s="697">
        <f>VLOOKUP(G26,Matches!$B$4:$K$113,5,0)</f>
        <v>46193.104166666664</v>
      </c>
      <c r="I27" s="698"/>
      <c r="J27" s="4"/>
      <c r="K27" s="697">
        <f>VLOOKUP(J26,Matches!$B$4:$K$113,5,0)</f>
        <v>46193.208333333336</v>
      </c>
      <c r="L27" s="698"/>
      <c r="M27" s="4"/>
      <c r="N27" s="697">
        <f>VLOOKUP(M26,Matches!$B$4:$K$113,5,0)</f>
        <v>46194.083333333336</v>
      </c>
      <c r="O27" s="698"/>
      <c r="P27" s="4"/>
      <c r="Q27" s="697">
        <f>VLOOKUP(P26,Matches!$B$4:$K$113,5,0)</f>
        <v>46194.25</v>
      </c>
      <c r="R27" s="698"/>
      <c r="S27" s="4"/>
      <c r="T27" s="697">
        <f>VLOOKUP(S26,Matches!$B$4:$K$113,5,0)</f>
        <v>46195.125</v>
      </c>
      <c r="U27" s="698"/>
      <c r="V27" s="4"/>
      <c r="W27" s="697">
        <f>VLOOKUP(V26,Matches!$B$4:$K$113,5,0)</f>
        <v>46195</v>
      </c>
      <c r="X27" s="698"/>
      <c r="Y27" s="4"/>
      <c r="Z27" s="697">
        <f>VLOOKUP(Y26,Matches!$B$4:$K$113,5,0)</f>
        <v>46196.083333333336</v>
      </c>
      <c r="AA27" s="698"/>
      <c r="AB27" s="4"/>
      <c r="AC27" s="697">
        <f>VLOOKUP(AB26,Matches!$B$4:$K$113,5,0)</f>
        <v>46196.208333333336</v>
      </c>
      <c r="AD27" s="698"/>
      <c r="AE27" s="4"/>
      <c r="AF27" s="697">
        <f>VLOOKUP(AE26,Matches!$B$4:$K$113,5,0)</f>
        <v>46197.166666666664</v>
      </c>
      <c r="AG27" s="698"/>
      <c r="AH27" s="4"/>
      <c r="AI27" s="697">
        <f>VLOOKUP(AH26,Matches!$B$4:$K$113,5,0)</f>
        <v>46197.041666666664</v>
      </c>
      <c r="AJ27" s="698"/>
      <c r="AK27" s="18"/>
      <c r="AL27" s="278"/>
      <c r="AM27" s="278"/>
      <c r="AN27" s="18"/>
      <c r="AO27" s="278"/>
      <c r="AP27" s="278"/>
      <c r="AQ27" s="18"/>
      <c r="AR27" s="278"/>
      <c r="AS27" s="278"/>
      <c r="AT27" s="18"/>
      <c r="AU27" s="278"/>
      <c r="AV27" s="278"/>
    </row>
    <row r="28" spans="1:48" x14ac:dyDescent="0.25">
      <c r="A28" s="4"/>
      <c r="B28" s="41" t="str">
        <f>VLOOKUP(A26,Matches!$B$4:$K$113,8,0)</f>
        <v>Mexiko</v>
      </c>
      <c r="C28" s="42" t="str">
        <f>VLOOKUP(A26,Matches!$B$4:$K$113,9,0)</f>
        <v>Südkorea</v>
      </c>
      <c r="D28" s="4"/>
      <c r="E28" s="41" t="str">
        <f>VLOOKUP(D26,Matches!$B$4:$K$113,8,0)</f>
        <v>Kanada</v>
      </c>
      <c r="F28" s="42" t="str">
        <f>VLOOKUP(D26,Matches!$B$4:$K$113,9,0)</f>
        <v>Katar</v>
      </c>
      <c r="G28" s="4"/>
      <c r="H28" s="41" t="str">
        <f>VLOOKUP(G26,Matches!$B$4:$K$113,8,0)</f>
        <v>Brasilien</v>
      </c>
      <c r="I28" s="42" t="str">
        <f>VLOOKUP(G26,Matches!$B$4:$K$113,9,0)</f>
        <v>Haiti</v>
      </c>
      <c r="J28" s="4"/>
      <c r="K28" s="41" t="str">
        <f>VLOOKUP(J26,Matches!$B$4:$K$113,8,0)</f>
        <v>Türkei</v>
      </c>
      <c r="L28" s="42" t="str">
        <f>VLOOKUP(J26,Matches!$B$4:$K$113,9,0)</f>
        <v>Paraguay</v>
      </c>
      <c r="M28" s="4"/>
      <c r="N28" s="41" t="str">
        <f>VLOOKUP(M26,Matches!$B$4:$K$113,8,0)</f>
        <v>Ecuador</v>
      </c>
      <c r="O28" s="42" t="str">
        <f>VLOOKUP(M26,Matches!$B$4:$K$113,9,0)</f>
        <v>Curaçao</v>
      </c>
      <c r="P28" s="4"/>
      <c r="Q28" s="41" t="str">
        <f>VLOOKUP(P26,Matches!$B$4:$K$113,8,0)</f>
        <v>Tunesien</v>
      </c>
      <c r="R28" s="42" t="str">
        <f>VLOOKUP(P26,Matches!$B$4:$K$113,9,0)</f>
        <v>Japan</v>
      </c>
      <c r="S28" s="4"/>
      <c r="T28" s="41" t="str">
        <f>VLOOKUP(S26,Matches!$B$4:$K$113,8,0)</f>
        <v>Neuseeland</v>
      </c>
      <c r="U28" s="42" t="str">
        <f>VLOOKUP(S26,Matches!$B$4:$K$113,9,0)</f>
        <v>Ägypten</v>
      </c>
      <c r="V28" s="4"/>
      <c r="W28" s="41" t="str">
        <f>VLOOKUP(V26,Matches!$B$4:$K$113,8,0)</f>
        <v>Uruguay</v>
      </c>
      <c r="X28" s="42" t="str">
        <f>VLOOKUP(V26,Matches!$B$4:$K$113,9,0)</f>
        <v>Kap Verde</v>
      </c>
      <c r="Y28" s="4"/>
      <c r="Z28" s="41" t="str">
        <f>VLOOKUP(Y26,Matches!$B$4:$K$113,8,0)</f>
        <v>Norwegen</v>
      </c>
      <c r="AA28" s="42" t="str">
        <f>VLOOKUP(Y26,Matches!$B$4:$K$113,9,0)</f>
        <v>Senegal</v>
      </c>
      <c r="AB28" s="4"/>
      <c r="AC28" s="41" t="str">
        <f>VLOOKUP(AB26,Matches!$B$4:$K$113,8,0)</f>
        <v>Jordanien</v>
      </c>
      <c r="AD28" s="42" t="str">
        <f>VLOOKUP(AB26,Matches!$B$4:$K$113,9,0)</f>
        <v>Algerien</v>
      </c>
      <c r="AE28" s="4"/>
      <c r="AF28" s="41" t="str">
        <f>VLOOKUP(AE26,Matches!$B$4:$K$113,8,0)</f>
        <v>Kolumbien</v>
      </c>
      <c r="AG28" s="42" t="str">
        <f>VLOOKUP(AE26,Matches!$B$4:$K$113,9,0)</f>
        <v>DR Kongo</v>
      </c>
      <c r="AH28" s="4"/>
      <c r="AI28" s="41" t="str">
        <f>VLOOKUP(AH26,Matches!$B$4:$K$113,8,0)</f>
        <v>Panama</v>
      </c>
      <c r="AJ28" s="42" t="str">
        <f>VLOOKUP(AH26,Matches!$B$4:$K$113,9,0)</f>
        <v>Kroatien</v>
      </c>
      <c r="AK28" s="18"/>
      <c r="AL28" s="20"/>
      <c r="AM28" s="20"/>
      <c r="AN28" s="18"/>
      <c r="AO28" s="20"/>
      <c r="AP28" s="20"/>
      <c r="AQ28" s="18"/>
      <c r="AR28" s="20"/>
      <c r="AS28" s="20"/>
      <c r="AT28" s="18"/>
      <c r="AU28" s="20"/>
      <c r="AV28" s="20"/>
    </row>
    <row r="29" spans="1:48" ht="15.75" thickBot="1" x14ac:dyDescent="0.3">
      <c r="A29" s="4"/>
      <c r="B29" s="1"/>
      <c r="C29" s="2"/>
      <c r="D29" s="4"/>
      <c r="E29" s="1"/>
      <c r="F29" s="2"/>
      <c r="G29" s="4"/>
      <c r="H29" s="1"/>
      <c r="I29" s="2"/>
      <c r="J29" s="4"/>
      <c r="K29" s="1"/>
      <c r="L29" s="2"/>
      <c r="M29" s="4"/>
      <c r="N29" s="1"/>
      <c r="O29" s="2"/>
      <c r="P29" s="4"/>
      <c r="Q29" s="1"/>
      <c r="R29" s="2"/>
      <c r="S29" s="4"/>
      <c r="T29" s="1"/>
      <c r="U29" s="2"/>
      <c r="V29" s="4"/>
      <c r="W29" s="1"/>
      <c r="X29" s="2"/>
      <c r="Y29" s="4"/>
      <c r="Z29" s="1"/>
      <c r="AA29" s="2"/>
      <c r="AB29" s="4"/>
      <c r="AC29" s="1"/>
      <c r="AD29" s="2"/>
      <c r="AE29" s="4"/>
      <c r="AF29" s="1"/>
      <c r="AG29" s="2"/>
      <c r="AH29" s="4"/>
      <c r="AI29" s="1"/>
      <c r="AJ29" s="2"/>
      <c r="AK29" s="18"/>
      <c r="AL29" s="23"/>
      <c r="AM29" s="23"/>
      <c r="AN29" s="18"/>
      <c r="AO29" s="23"/>
      <c r="AP29" s="23"/>
      <c r="AQ29" s="18"/>
      <c r="AR29" s="23"/>
      <c r="AS29" s="23"/>
      <c r="AT29" s="18"/>
      <c r="AU29" s="23"/>
      <c r="AV29" s="23"/>
    </row>
    <row r="30" spans="1:48" ht="16.5" thickBot="1" x14ac:dyDescent="0.3">
      <c r="A30" s="4"/>
      <c r="B30" s="23"/>
      <c r="C30" s="23"/>
      <c r="D30" s="18"/>
      <c r="E30" s="23"/>
      <c r="F30" s="23"/>
      <c r="G30" s="18"/>
      <c r="H30" s="23"/>
      <c r="I30" s="23"/>
      <c r="J30" s="18"/>
      <c r="K30" s="23"/>
      <c r="L30" s="23"/>
      <c r="M30" s="18"/>
      <c r="N30" s="23"/>
      <c r="O30" s="23"/>
      <c r="P30" s="18"/>
      <c r="Q30" s="23"/>
      <c r="R30" s="23"/>
      <c r="S30" s="4"/>
      <c r="T30" s="23"/>
      <c r="U30" s="23"/>
      <c r="V30" s="18"/>
      <c r="W30" s="23"/>
      <c r="X30" s="23"/>
      <c r="Y30" s="4"/>
      <c r="Z30" s="23"/>
      <c r="AA30" s="23"/>
      <c r="AB30" s="18"/>
      <c r="AC30" s="23"/>
      <c r="AD30" s="23"/>
      <c r="AE30" s="18"/>
      <c r="AF30" s="23"/>
      <c r="AG30" s="23"/>
      <c r="AH30" s="18"/>
      <c r="AI30" s="23"/>
      <c r="AJ30" s="23"/>
      <c r="AK30" s="18"/>
      <c r="AL30" s="688" t="str">
        <f>IF(ThirdPlaced!$I$33,"•","")</f>
        <v/>
      </c>
      <c r="AM30" s="688"/>
      <c r="AN30" s="18"/>
      <c r="AO30" s="23"/>
      <c r="AP30" s="23"/>
      <c r="AQ30" s="18"/>
      <c r="AR30" s="23"/>
      <c r="AS30" s="23"/>
      <c r="AT30" s="18"/>
      <c r="AU30" s="23"/>
      <c r="AV30" s="23"/>
    </row>
    <row r="31" spans="1:48" x14ac:dyDescent="0.25">
      <c r="A31" s="86">
        <v>53</v>
      </c>
      <c r="B31" s="699" t="str">
        <f>VLOOKUP(A31,Matches!$B$4:$K$113,7,0)</f>
        <v>Mexico City</v>
      </c>
      <c r="C31" s="700"/>
      <c r="D31" s="86">
        <v>51</v>
      </c>
      <c r="E31" s="699" t="str">
        <f>VLOOKUP(D31,Matches!$B$4:$K$113,7,0)</f>
        <v>Vancouver</v>
      </c>
      <c r="F31" s="700"/>
      <c r="G31" s="86">
        <v>49</v>
      </c>
      <c r="H31" s="699" t="str">
        <f>VLOOKUP(G31,Matches!$B$4:$K$113,7,0)</f>
        <v>Miami</v>
      </c>
      <c r="I31" s="700"/>
      <c r="J31" s="86">
        <v>59</v>
      </c>
      <c r="K31" s="699" t="str">
        <f>VLOOKUP(J31,Matches!$B$4:$K$113,7,0)</f>
        <v>Los Angeles</v>
      </c>
      <c r="L31" s="700"/>
      <c r="M31" s="86">
        <v>55</v>
      </c>
      <c r="N31" s="699" t="str">
        <f>VLOOKUP(M31,Matches!$B$4:$K$113,7,0)</f>
        <v>Philadelphia</v>
      </c>
      <c r="O31" s="700"/>
      <c r="P31" s="86">
        <v>57</v>
      </c>
      <c r="Q31" s="699" t="str">
        <f>VLOOKUP(P31,Matches!$B$4:$K$113,7,0)</f>
        <v>Dallas</v>
      </c>
      <c r="R31" s="700"/>
      <c r="S31" s="86">
        <v>63</v>
      </c>
      <c r="T31" s="699" t="str">
        <f>VLOOKUP(S31,Matches!$B$4:$K$113,7,0)</f>
        <v>Seattle</v>
      </c>
      <c r="U31" s="700"/>
      <c r="V31" s="86">
        <v>65</v>
      </c>
      <c r="W31" s="699" t="str">
        <f>VLOOKUP(V31,Matches!$B$4:$K$113,7,0)</f>
        <v>Houston</v>
      </c>
      <c r="X31" s="700"/>
      <c r="Y31" s="86">
        <v>61</v>
      </c>
      <c r="Z31" s="699" t="str">
        <f>VLOOKUP(Y31,Matches!$B$4:$K$113,7,0)</f>
        <v>Boston</v>
      </c>
      <c r="AA31" s="700"/>
      <c r="AB31" s="86">
        <v>69</v>
      </c>
      <c r="AC31" s="699" t="str">
        <f>VLOOKUP(AB31,Matches!$B$4:$K$113,7,0)</f>
        <v>Kansas City</v>
      </c>
      <c r="AD31" s="700"/>
      <c r="AE31" s="86">
        <v>71</v>
      </c>
      <c r="AF31" s="699" t="str">
        <f>VLOOKUP(AE31,Matches!$B$4:$K$113,7,0)</f>
        <v>Miami</v>
      </c>
      <c r="AG31" s="700"/>
      <c r="AH31" s="86">
        <v>67</v>
      </c>
      <c r="AI31" s="699" t="str">
        <f>VLOOKUP(AH31,Matches!$B$4:$K$113,7,0)</f>
        <v>New York/New Jersey</v>
      </c>
      <c r="AJ31" s="700"/>
      <c r="AK31" s="272"/>
      <c r="AL31" s="695" t="str">
        <f>Sprache!$E$180</f>
        <v>Gruppendritte</v>
      </c>
      <c r="AM31" s="696"/>
      <c r="AN31" s="381" t="str">
        <f>Sprache!$E$181</f>
        <v>Grp</v>
      </c>
      <c r="AO31" s="277"/>
      <c r="AP31" s="277"/>
      <c r="AQ31" s="272"/>
      <c r="AR31" s="277"/>
      <c r="AS31" s="277"/>
      <c r="AT31" s="272"/>
      <c r="AU31" s="277"/>
      <c r="AV31" s="277"/>
    </row>
    <row r="32" spans="1:48" x14ac:dyDescent="0.25">
      <c r="A32" s="4"/>
      <c r="B32" s="697">
        <f>VLOOKUP(A31,Matches!$B$4:$K$113,5,0)</f>
        <v>46198.125</v>
      </c>
      <c r="C32" s="698"/>
      <c r="D32" s="4"/>
      <c r="E32" s="697">
        <f>VLOOKUP(D31,Matches!$B$4:$K$113,5,0)</f>
        <v>46197.875</v>
      </c>
      <c r="F32" s="698"/>
      <c r="G32" s="4"/>
      <c r="H32" s="697">
        <f>VLOOKUP(G31,Matches!$B$4:$K$113,5,0)</f>
        <v>46198</v>
      </c>
      <c r="I32" s="698"/>
      <c r="J32" s="4"/>
      <c r="K32" s="697">
        <f>VLOOKUP(J31,Matches!$B$4:$K$113,5,0)</f>
        <v>46199.166666666664</v>
      </c>
      <c r="L32" s="698"/>
      <c r="M32" s="4"/>
      <c r="N32" s="697">
        <f>VLOOKUP(M31,Matches!$B$4:$K$113,5,0)</f>
        <v>46198.916666666664</v>
      </c>
      <c r="O32" s="698"/>
      <c r="P32" s="4"/>
      <c r="Q32" s="697">
        <f>VLOOKUP(P31,Matches!$B$4:$K$113,5,0)</f>
        <v>46199.041666666664</v>
      </c>
      <c r="R32" s="698"/>
      <c r="S32" s="4"/>
      <c r="T32" s="697">
        <f>VLOOKUP(S31,Matches!$B$4:$K$113,5,0)</f>
        <v>46200.208333333336</v>
      </c>
      <c r="U32" s="698"/>
      <c r="V32" s="4"/>
      <c r="W32" s="697">
        <f>VLOOKUP(V31,Matches!$B$4:$K$113,5,0)</f>
        <v>46200.083333333336</v>
      </c>
      <c r="X32" s="698"/>
      <c r="Y32" s="4"/>
      <c r="Z32" s="697">
        <f>VLOOKUP(Y31,Matches!$B$4:$K$113,5,0)</f>
        <v>46199.875</v>
      </c>
      <c r="AA32" s="698"/>
      <c r="AB32" s="4"/>
      <c r="AC32" s="697">
        <f>VLOOKUP(AB31,Matches!$B$4:$K$113,5,0)</f>
        <v>46201.166666666664</v>
      </c>
      <c r="AD32" s="698"/>
      <c r="AE32" s="4"/>
      <c r="AF32" s="697">
        <f>VLOOKUP(AE31,Matches!$B$4:$K$113,5,0)</f>
        <v>46201.0625</v>
      </c>
      <c r="AG32" s="698"/>
      <c r="AH32" s="4"/>
      <c r="AI32" s="697">
        <f>VLOOKUP(AH31,Matches!$B$4:$K$113,5,0)</f>
        <v>46200.958333333336</v>
      </c>
      <c r="AJ32" s="698"/>
      <c r="AK32" s="18"/>
      <c r="AL32" s="380" t="str">
        <f>IF(OR(ThirdPlaced!$D17&gt;0,ThirdPlaced!$G17&gt;0),ThirdPlaced!$C17,"")</f>
        <v/>
      </c>
      <c r="AM32" s="373" t="str">
        <f>IF(AL32&lt;&gt;"","   "&amp;ThirdPlaced!$D17&amp;"        "&amp;ThirdPlaced!$F17&amp;Sprache!$E$197&amp;ThirdPlaced!$G17,"")</f>
        <v/>
      </c>
      <c r="AN32" s="379" t="str">
        <f>IF(AL32&lt;&gt;"",ThirdPlaced!$I17,"")</f>
        <v/>
      </c>
      <c r="AO32" s="278"/>
      <c r="AP32" s="278"/>
      <c r="AQ32" s="18"/>
      <c r="AR32" s="278"/>
      <c r="AS32" s="278"/>
      <c r="AT32" s="18"/>
      <c r="AU32" s="278"/>
      <c r="AV32" s="278"/>
    </row>
    <row r="33" spans="1:49" x14ac:dyDescent="0.25">
      <c r="A33" s="4"/>
      <c r="B33" s="41" t="str">
        <f>VLOOKUP(A31,Matches!$B$4:$K$113,8,0)</f>
        <v>Tschechien</v>
      </c>
      <c r="C33" s="42" t="str">
        <f>VLOOKUP(A31,Matches!$B$4:$K$113,9,0)</f>
        <v>Mexiko</v>
      </c>
      <c r="D33" s="4"/>
      <c r="E33" s="41" t="str">
        <f>VLOOKUP(D31,Matches!$B$4:$K$113,8,0)</f>
        <v>Schweiz</v>
      </c>
      <c r="F33" s="42" t="str">
        <f>VLOOKUP(D31,Matches!$B$4:$K$113,9,0)</f>
        <v>Kanada</v>
      </c>
      <c r="G33" s="4"/>
      <c r="H33" s="41" t="str">
        <f>VLOOKUP(G31,Matches!$B$4:$K$113,8,0)</f>
        <v>Schottland</v>
      </c>
      <c r="I33" s="42" t="str">
        <f>VLOOKUP(G31,Matches!$B$4:$K$113,9,0)</f>
        <v>Brasilien</v>
      </c>
      <c r="J33" s="4"/>
      <c r="K33" s="41" t="str">
        <f>VLOOKUP(J31,Matches!$B$4:$K$113,8,0)</f>
        <v>Türkei</v>
      </c>
      <c r="L33" s="42" t="str">
        <f>VLOOKUP(J31,Matches!$B$4:$K$113,9,0)</f>
        <v>USA</v>
      </c>
      <c r="M33" s="4"/>
      <c r="N33" s="41" t="str">
        <f>VLOOKUP(M31,Matches!$B$4:$K$113,8,0)</f>
        <v>Curaçao</v>
      </c>
      <c r="O33" s="42" t="str">
        <f>VLOOKUP(M31,Matches!$B$4:$K$113,9,0)</f>
        <v>Elfenbeinküste</v>
      </c>
      <c r="P33" s="4"/>
      <c r="Q33" s="41" t="str">
        <f>VLOOKUP(P31,Matches!$B$4:$K$113,8,0)</f>
        <v>Japan</v>
      </c>
      <c r="R33" s="42" t="str">
        <f>VLOOKUP(P31,Matches!$B$4:$K$113,9,0)</f>
        <v>Schweden</v>
      </c>
      <c r="S33" s="4"/>
      <c r="T33" s="41" t="str">
        <f>VLOOKUP(S31,Matches!$B$4:$K$113,8,0)</f>
        <v>Ägypten</v>
      </c>
      <c r="U33" s="42" t="str">
        <f>VLOOKUP(S31,Matches!$B$4:$K$113,9,0)</f>
        <v>IR Iran</v>
      </c>
      <c r="V33" s="4"/>
      <c r="W33" s="41" t="str">
        <f>VLOOKUP(V31,Matches!$B$4:$K$113,8,0)</f>
        <v>Kap Verde</v>
      </c>
      <c r="X33" s="42" t="str">
        <f>VLOOKUP(V31,Matches!$B$4:$K$113,9,0)</f>
        <v>Saudiarabien</v>
      </c>
      <c r="Y33" s="4"/>
      <c r="Z33" s="41" t="str">
        <f>VLOOKUP(Y31,Matches!$B$4:$K$113,8,0)</f>
        <v>Norwegen</v>
      </c>
      <c r="AA33" s="42" t="str">
        <f>VLOOKUP(Y31,Matches!$B$4:$K$113,9,0)</f>
        <v>Frankreich</v>
      </c>
      <c r="AB33" s="4"/>
      <c r="AC33" s="41" t="str">
        <f>VLOOKUP(AB31,Matches!$B$4:$K$113,8,0)</f>
        <v>Algerien</v>
      </c>
      <c r="AD33" s="42" t="str">
        <f>VLOOKUP(AB31,Matches!$B$4:$K$113,9,0)</f>
        <v>Österreich</v>
      </c>
      <c r="AE33" s="4"/>
      <c r="AF33" s="41" t="str">
        <f>VLOOKUP(AE31,Matches!$B$4:$K$113,8,0)</f>
        <v>Kolumbien</v>
      </c>
      <c r="AG33" s="42" t="str">
        <f>VLOOKUP(AE31,Matches!$B$4:$K$113,9,0)</f>
        <v>Portugal</v>
      </c>
      <c r="AH33" s="4"/>
      <c r="AI33" s="41" t="str">
        <f>VLOOKUP(AH31,Matches!$B$4:$K$113,8,0)</f>
        <v>Panama</v>
      </c>
      <c r="AJ33" s="42" t="str">
        <f>VLOOKUP(AH31,Matches!$B$4:$K$113,9,0)</f>
        <v>England</v>
      </c>
      <c r="AK33" s="18"/>
      <c r="AL33" s="380" t="str">
        <f>IF(OR(ThirdPlaced!$D18&gt;0,ThirdPlaced!$G18&gt;0),ThirdPlaced!$C18,"")</f>
        <v/>
      </c>
      <c r="AM33" s="373" t="str">
        <f>IF(AL33&lt;&gt;"","   "&amp;ThirdPlaced!$D18&amp;"        "&amp;ThirdPlaced!$F18&amp;Sprache!$E$197&amp;ThirdPlaced!$G18,"")</f>
        <v/>
      </c>
      <c r="AN33" s="379" t="str">
        <f>IF(AL33&lt;&gt;"",ThirdPlaced!$I18,"")</f>
        <v/>
      </c>
      <c r="AO33" s="20"/>
      <c r="AP33" s="20"/>
      <c r="AQ33" s="18"/>
      <c r="AR33" s="20"/>
      <c r="AS33" s="20"/>
      <c r="AT33" s="18"/>
      <c r="AU33" s="20"/>
      <c r="AV33" s="20"/>
    </row>
    <row r="34" spans="1:49" ht="15.75" thickBot="1" x14ac:dyDescent="0.3">
      <c r="A34" s="4"/>
      <c r="B34" s="1"/>
      <c r="C34" s="2"/>
      <c r="D34" s="4"/>
      <c r="E34" s="1"/>
      <c r="F34" s="2"/>
      <c r="G34" s="4"/>
      <c r="H34" s="1"/>
      <c r="I34" s="2"/>
      <c r="J34" s="4"/>
      <c r="K34" s="1"/>
      <c r="L34" s="2"/>
      <c r="M34" s="4"/>
      <c r="N34" s="1"/>
      <c r="O34" s="2"/>
      <c r="P34" s="4"/>
      <c r="Q34" s="1"/>
      <c r="R34" s="2"/>
      <c r="S34" s="4"/>
      <c r="T34" s="1"/>
      <c r="U34" s="2"/>
      <c r="V34" s="4"/>
      <c r="W34" s="1"/>
      <c r="X34" s="2"/>
      <c r="Y34" s="4"/>
      <c r="Z34" s="1"/>
      <c r="AA34" s="2"/>
      <c r="AB34" s="4"/>
      <c r="AC34" s="1"/>
      <c r="AD34" s="2"/>
      <c r="AE34" s="4"/>
      <c r="AF34" s="1"/>
      <c r="AG34" s="2"/>
      <c r="AH34" s="4"/>
      <c r="AI34" s="1"/>
      <c r="AJ34" s="2"/>
      <c r="AK34" s="18"/>
      <c r="AL34" s="380" t="str">
        <f>IF(OR(ThirdPlaced!$D19&gt;0,ThirdPlaced!$G19&gt;0),ThirdPlaced!$C19,"")</f>
        <v/>
      </c>
      <c r="AM34" s="373" t="str">
        <f>IF(AL34&lt;&gt;"","   "&amp;ThirdPlaced!$D19&amp;"        "&amp;ThirdPlaced!$F19&amp;Sprache!$E$197&amp;ThirdPlaced!$G19,"")</f>
        <v/>
      </c>
      <c r="AN34" s="379" t="str">
        <f>IF(AL34&lt;&gt;"",ThirdPlaced!$I19,"")</f>
        <v/>
      </c>
      <c r="AO34" s="23"/>
      <c r="AP34" s="23"/>
      <c r="AQ34" s="18"/>
      <c r="AR34" s="23"/>
      <c r="AS34" s="23"/>
      <c r="AT34" s="18"/>
      <c r="AU34" s="23"/>
      <c r="AV34" s="23"/>
      <c r="AW34" s="4"/>
    </row>
    <row r="35" spans="1:49" ht="15.75" thickBot="1" x14ac:dyDescent="0.3">
      <c r="A35" s="4"/>
      <c r="B35" s="23"/>
      <c r="C35" s="23"/>
      <c r="D35" s="18"/>
      <c r="E35" s="23"/>
      <c r="F35" s="23"/>
      <c r="G35" s="18"/>
      <c r="H35" s="23"/>
      <c r="I35" s="23"/>
      <c r="J35" s="18"/>
      <c r="K35" s="23"/>
      <c r="L35" s="23"/>
      <c r="M35" s="18"/>
      <c r="N35" s="23"/>
      <c r="O35" s="23"/>
      <c r="P35" s="18"/>
      <c r="Q35" s="23"/>
      <c r="R35" s="23"/>
      <c r="S35" s="4"/>
      <c r="T35" s="23"/>
      <c r="U35" s="23"/>
      <c r="V35" s="18"/>
      <c r="W35" s="23"/>
      <c r="X35" s="23"/>
      <c r="Y35" s="4"/>
      <c r="Z35" s="23"/>
      <c r="AA35" s="23"/>
      <c r="AB35" s="18"/>
      <c r="AC35" s="23"/>
      <c r="AD35" s="23"/>
      <c r="AE35" s="18"/>
      <c r="AF35" s="23"/>
      <c r="AG35" s="23"/>
      <c r="AH35" s="18"/>
      <c r="AI35" s="23"/>
      <c r="AJ35" s="23"/>
      <c r="AK35" s="18"/>
      <c r="AL35" s="380" t="str">
        <f>IF(OR(ThirdPlaced!$D20&gt;0,ThirdPlaced!$G20&gt;0),ThirdPlaced!$C20,"")</f>
        <v/>
      </c>
      <c r="AM35" s="373" t="str">
        <f>IF(AL35&lt;&gt;"","   "&amp;ThirdPlaced!$D20&amp;"        "&amp;ThirdPlaced!$F20&amp;Sprache!$E$197&amp;ThirdPlaced!$G20,"")</f>
        <v/>
      </c>
      <c r="AN35" s="379" t="str">
        <f>IF(AL35&lt;&gt;"",ThirdPlaced!$I20,"")</f>
        <v/>
      </c>
      <c r="AO35" s="23"/>
      <c r="AP35" s="23"/>
      <c r="AQ35" s="18"/>
      <c r="AR35" s="23"/>
      <c r="AS35" s="23"/>
      <c r="AT35" s="18"/>
      <c r="AU35" s="23"/>
      <c r="AV35" s="23"/>
      <c r="AW35" s="4"/>
    </row>
    <row r="36" spans="1:49" x14ac:dyDescent="0.25">
      <c r="A36" s="86">
        <v>54</v>
      </c>
      <c r="B36" s="699" t="str">
        <f>VLOOKUP(A36,Matches!$B$4:$K$113,7,0)</f>
        <v>Monterrey</v>
      </c>
      <c r="C36" s="700"/>
      <c r="D36" s="86">
        <v>52</v>
      </c>
      <c r="E36" s="699" t="str">
        <f>VLOOKUP(D36,Matches!$B$4:$K$113,7,0)</f>
        <v>Seattle</v>
      </c>
      <c r="F36" s="700"/>
      <c r="G36" s="86">
        <v>50</v>
      </c>
      <c r="H36" s="699" t="str">
        <f>VLOOKUP(G36,Matches!$B$4:$K$113,7,0)</f>
        <v>Atlanta</v>
      </c>
      <c r="I36" s="700"/>
      <c r="J36" s="86">
        <v>60</v>
      </c>
      <c r="K36" s="699" t="str">
        <f>VLOOKUP(J36,Matches!$B$4:$K$113,7,0)</f>
        <v>San Francisco Bay Area</v>
      </c>
      <c r="L36" s="700"/>
      <c r="M36" s="86">
        <v>56</v>
      </c>
      <c r="N36" s="699" t="str">
        <f>VLOOKUP(M36,Matches!$B$4:$K$113,7,0)</f>
        <v>New York/New Jersey</v>
      </c>
      <c r="O36" s="700"/>
      <c r="P36" s="86">
        <v>58</v>
      </c>
      <c r="Q36" s="699" t="str">
        <f>VLOOKUP(P36,Matches!$B$4:$K$113,7,0)</f>
        <v>Kansas City</v>
      </c>
      <c r="R36" s="700"/>
      <c r="S36" s="86">
        <v>64</v>
      </c>
      <c r="T36" s="699" t="str">
        <f>VLOOKUP(S36,Matches!$B$4:$K$113,7,0)</f>
        <v>Vancouver</v>
      </c>
      <c r="U36" s="700"/>
      <c r="V36" s="86">
        <v>66</v>
      </c>
      <c r="W36" s="699" t="str">
        <f>VLOOKUP(V36,Matches!$B$4:$K$113,7,0)</f>
        <v>Guadalajara</v>
      </c>
      <c r="X36" s="700"/>
      <c r="Y36" s="86">
        <v>62</v>
      </c>
      <c r="Z36" s="699" t="str">
        <f>VLOOKUP(Y36,Matches!$B$4:$K$113,7,0)</f>
        <v>Toronto</v>
      </c>
      <c r="AA36" s="700"/>
      <c r="AB36" s="86">
        <v>70</v>
      </c>
      <c r="AC36" s="699" t="str">
        <f>VLOOKUP(AB36,Matches!$B$4:$K$113,7,0)</f>
        <v>Dallas</v>
      </c>
      <c r="AD36" s="700"/>
      <c r="AE36" s="86">
        <v>72</v>
      </c>
      <c r="AF36" s="699" t="str">
        <f>VLOOKUP(AE36,Matches!$B$4:$K$113,7,0)</f>
        <v>Atlanta</v>
      </c>
      <c r="AG36" s="700"/>
      <c r="AH36" s="86">
        <v>68</v>
      </c>
      <c r="AI36" s="699" t="str">
        <f>VLOOKUP(AH36,Matches!$B$4:$K$113,7,0)</f>
        <v>Philadelphia</v>
      </c>
      <c r="AJ36" s="700"/>
      <c r="AK36" s="272"/>
      <c r="AL36" s="380" t="str">
        <f>IF(OR(ThirdPlaced!$D21&gt;0,ThirdPlaced!$G21&gt;0),ThirdPlaced!$C21,"")</f>
        <v/>
      </c>
      <c r="AM36" s="373" t="str">
        <f>IF(AL36&lt;&gt;"","   "&amp;ThirdPlaced!$D21&amp;"        "&amp;ThirdPlaced!$F21&amp;Sprache!$E$197&amp;ThirdPlaced!$G21,"")</f>
        <v/>
      </c>
      <c r="AN36" s="379" t="str">
        <f>IF(AL36&lt;&gt;"",ThirdPlaced!$I21,"")</f>
        <v/>
      </c>
      <c r="AO36" s="18"/>
      <c r="AP36" s="18"/>
      <c r="AQ36" s="18"/>
      <c r="AR36" s="277"/>
      <c r="AS36" s="277"/>
      <c r="AT36" s="272"/>
      <c r="AU36" s="277"/>
      <c r="AV36" s="277"/>
      <c r="AW36" s="4"/>
    </row>
    <row r="37" spans="1:49" x14ac:dyDescent="0.25">
      <c r="A37" s="4"/>
      <c r="B37" s="697">
        <f>VLOOKUP(A36,Matches!$B$4:$K$113,5,0)</f>
        <v>46198.125</v>
      </c>
      <c r="C37" s="698"/>
      <c r="D37" s="4"/>
      <c r="E37" s="697">
        <f>VLOOKUP(D36,Matches!$B$4:$K$113,5,0)</f>
        <v>46197.875</v>
      </c>
      <c r="F37" s="698"/>
      <c r="G37" s="4"/>
      <c r="H37" s="697">
        <f>VLOOKUP(G36,Matches!$B$4:$K$113,5,0)</f>
        <v>46198</v>
      </c>
      <c r="I37" s="698"/>
      <c r="J37" s="4"/>
      <c r="K37" s="697">
        <f>VLOOKUP(J36,Matches!$B$4:$K$113,5,0)</f>
        <v>46199.166666666664</v>
      </c>
      <c r="L37" s="698"/>
      <c r="M37" s="4"/>
      <c r="N37" s="697">
        <f>VLOOKUP(M36,Matches!$B$4:$K$113,5,0)</f>
        <v>46198.916666666664</v>
      </c>
      <c r="O37" s="698"/>
      <c r="P37" s="4"/>
      <c r="Q37" s="697">
        <f>VLOOKUP(P36,Matches!$B$4:$K$113,5,0)</f>
        <v>46199.041666666664</v>
      </c>
      <c r="R37" s="698"/>
      <c r="S37" s="4"/>
      <c r="T37" s="697">
        <f>VLOOKUP(S36,Matches!$B$4:$K$113,5,0)</f>
        <v>46200.208333333336</v>
      </c>
      <c r="U37" s="698"/>
      <c r="V37" s="4"/>
      <c r="W37" s="697">
        <f>VLOOKUP(V36,Matches!$B$4:$K$113,5,0)</f>
        <v>46200.083333333336</v>
      </c>
      <c r="X37" s="698"/>
      <c r="Y37" s="4"/>
      <c r="Z37" s="697">
        <f>VLOOKUP(Y36,Matches!$B$4:$K$113,5,0)</f>
        <v>46199.875</v>
      </c>
      <c r="AA37" s="698"/>
      <c r="AB37" s="4"/>
      <c r="AC37" s="697">
        <f>VLOOKUP(AB36,Matches!$B$4:$K$113,5,0)</f>
        <v>46201.166666666664</v>
      </c>
      <c r="AD37" s="698"/>
      <c r="AE37" s="4"/>
      <c r="AF37" s="697">
        <f>VLOOKUP(AE36,Matches!$B$4:$K$113,5,0)</f>
        <v>46201.0625</v>
      </c>
      <c r="AG37" s="698"/>
      <c r="AH37" s="4"/>
      <c r="AI37" s="697">
        <f>VLOOKUP(AH36,Matches!$B$4:$K$113,5,0)</f>
        <v>46200.958333333336</v>
      </c>
      <c r="AJ37" s="698"/>
      <c r="AK37" s="18"/>
      <c r="AL37" s="380" t="str">
        <f>IF(OR(ThirdPlaced!$D22&gt;0,ThirdPlaced!$G22&gt;0),ThirdPlaced!$C22,"")</f>
        <v/>
      </c>
      <c r="AM37" s="373" t="str">
        <f>IF(AL37&lt;&gt;"","   "&amp;ThirdPlaced!$D22&amp;"        "&amp;ThirdPlaced!$F22&amp;Sprache!$E$197&amp;ThirdPlaced!$G22,"")</f>
        <v/>
      </c>
      <c r="AN37" s="379" t="str">
        <f>IF(AL37&lt;&gt;"",ThirdPlaced!$I22,"")</f>
        <v/>
      </c>
      <c r="AO37" s="18"/>
      <c r="AP37" s="18"/>
      <c r="AQ37" s="45"/>
      <c r="AR37" s="278"/>
      <c r="AS37" s="278"/>
      <c r="AT37" s="18"/>
      <c r="AU37" s="278"/>
      <c r="AV37" s="278"/>
      <c r="AW37" s="4"/>
    </row>
    <row r="38" spans="1:49" x14ac:dyDescent="0.25">
      <c r="A38" s="4"/>
      <c r="B38" s="41" t="str">
        <f>VLOOKUP(A36,Matches!$B$4:$K$113,8,0)</f>
        <v>Südafrika</v>
      </c>
      <c r="C38" s="42" t="str">
        <f>VLOOKUP(A36,Matches!$B$4:$K$113,9,0)</f>
        <v>Südkorea</v>
      </c>
      <c r="D38" s="4"/>
      <c r="E38" s="41" t="str">
        <f>VLOOKUP(D36,Matches!$B$4:$K$113,8,0)</f>
        <v>Bosnien/Herzeg.</v>
      </c>
      <c r="F38" s="42" t="str">
        <f>VLOOKUP(D36,Matches!$B$4:$K$113,9,0)</f>
        <v>Katar</v>
      </c>
      <c r="G38" s="4"/>
      <c r="H38" s="41" t="str">
        <f>VLOOKUP(G36,Matches!$B$4:$K$113,8,0)</f>
        <v>Marokko</v>
      </c>
      <c r="I38" s="42" t="str">
        <f>VLOOKUP(G36,Matches!$B$4:$K$113,9,0)</f>
        <v>Haiti</v>
      </c>
      <c r="J38" s="4"/>
      <c r="K38" s="41" t="str">
        <f>VLOOKUP(J36,Matches!$B$4:$K$113,8,0)</f>
        <v>Paraguay</v>
      </c>
      <c r="L38" s="42" t="str">
        <f>VLOOKUP(J36,Matches!$B$4:$K$113,9,0)</f>
        <v>Australien</v>
      </c>
      <c r="M38" s="4"/>
      <c r="N38" s="41" t="str">
        <f>VLOOKUP(M36,Matches!$B$4:$K$113,8,0)</f>
        <v>Ecuador</v>
      </c>
      <c r="O38" s="42" t="str">
        <f>VLOOKUP(M36,Matches!$B$4:$K$113,9,0)</f>
        <v>Deutschland</v>
      </c>
      <c r="P38" s="4"/>
      <c r="Q38" s="41" t="str">
        <f>VLOOKUP(P36,Matches!$B$4:$K$113,8,0)</f>
        <v>Tunesien</v>
      </c>
      <c r="R38" s="42" t="str">
        <f>VLOOKUP(P36,Matches!$B$4:$K$113,9,0)</f>
        <v>Niederlande</v>
      </c>
      <c r="S38" s="4"/>
      <c r="T38" s="41" t="str">
        <f>VLOOKUP(S36,Matches!$B$4:$K$113,8,0)</f>
        <v>Neuseeland</v>
      </c>
      <c r="U38" s="42" t="str">
        <f>VLOOKUP(S36,Matches!$B$4:$K$113,9,0)</f>
        <v>Belgien</v>
      </c>
      <c r="V38" s="4"/>
      <c r="W38" s="41" t="str">
        <f>VLOOKUP(V36,Matches!$B$4:$K$113,8,0)</f>
        <v>Uruguay</v>
      </c>
      <c r="X38" s="42" t="str">
        <f>VLOOKUP(V36,Matches!$B$4:$K$113,9,0)</f>
        <v>Spanien</v>
      </c>
      <c r="Y38" s="4"/>
      <c r="Z38" s="41" t="str">
        <f>VLOOKUP(Y36,Matches!$B$4:$K$113,8,0)</f>
        <v>Senegal</v>
      </c>
      <c r="AA38" s="42" t="str">
        <f>VLOOKUP(Y36,Matches!$B$4:$K$113,9,0)</f>
        <v>Irak</v>
      </c>
      <c r="AB38" s="4"/>
      <c r="AC38" s="41" t="str">
        <f>VLOOKUP(AB36,Matches!$B$4:$K$113,8,0)</f>
        <v>Jordanien</v>
      </c>
      <c r="AD38" s="42" t="str">
        <f>VLOOKUP(AB36,Matches!$B$4:$K$113,9,0)</f>
        <v>Argentinien</v>
      </c>
      <c r="AE38" s="4"/>
      <c r="AF38" s="41" t="str">
        <f>VLOOKUP(AE36,Matches!$B$4:$K$113,8,0)</f>
        <v>DR Kongo</v>
      </c>
      <c r="AG38" s="42" t="str">
        <f>VLOOKUP(AE36,Matches!$B$4:$K$113,9,0)</f>
        <v>Usbekistan</v>
      </c>
      <c r="AH38" s="4"/>
      <c r="AI38" s="41" t="str">
        <f>VLOOKUP(AH36,Matches!$B$4:$K$113,8,0)</f>
        <v>Kroatien</v>
      </c>
      <c r="AJ38" s="42" t="str">
        <f>VLOOKUP(AH36,Matches!$B$4:$K$113,9,0)</f>
        <v>Ghana</v>
      </c>
      <c r="AK38" s="18"/>
      <c r="AL38" s="380" t="str">
        <f>IF(OR(ThirdPlaced!$D23&gt;0,ThirdPlaced!$G23&gt;0),ThirdPlaced!$C23,"")</f>
        <v/>
      </c>
      <c r="AM38" s="373" t="str">
        <f>IF(AL38&lt;&gt;"","   "&amp;ThirdPlaced!$D23&amp;"        "&amp;ThirdPlaced!$F23&amp;Sprache!$E$197&amp;ThirdPlaced!$G23,"")</f>
        <v/>
      </c>
      <c r="AN38" s="379" t="str">
        <f>IF(AL38&lt;&gt;"",ThirdPlaced!$I23,"")</f>
        <v/>
      </c>
      <c r="AO38" s="18"/>
      <c r="AP38" s="18"/>
      <c r="AQ38" s="18"/>
      <c r="AR38" s="20"/>
      <c r="AS38" s="20"/>
      <c r="AT38" s="18"/>
      <c r="AU38" s="20"/>
      <c r="AV38" s="20"/>
      <c r="AW38" s="4"/>
    </row>
    <row r="39" spans="1:49" ht="15.75" thickBot="1" x14ac:dyDescent="0.3">
      <c r="A39" s="4"/>
      <c r="B39" s="1"/>
      <c r="C39" s="2"/>
      <c r="D39" s="4"/>
      <c r="E39" s="1"/>
      <c r="F39" s="2"/>
      <c r="G39" s="4"/>
      <c r="H39" s="1"/>
      <c r="I39" s="2"/>
      <c r="J39" s="4"/>
      <c r="K39" s="1"/>
      <c r="L39" s="2"/>
      <c r="M39" s="4"/>
      <c r="N39" s="1"/>
      <c r="O39" s="2"/>
      <c r="P39" s="4"/>
      <c r="Q39" s="1"/>
      <c r="R39" s="2"/>
      <c r="S39" s="4"/>
      <c r="T39" s="1"/>
      <c r="U39" s="2"/>
      <c r="V39" s="4"/>
      <c r="W39" s="1"/>
      <c r="X39" s="2"/>
      <c r="Y39" s="4"/>
      <c r="Z39" s="1"/>
      <c r="AA39" s="2"/>
      <c r="AB39" s="4"/>
      <c r="AC39" s="1"/>
      <c r="AD39" s="2"/>
      <c r="AE39" s="4"/>
      <c r="AF39" s="1"/>
      <c r="AG39" s="2"/>
      <c r="AH39" s="4"/>
      <c r="AI39" s="1"/>
      <c r="AJ39" s="2"/>
      <c r="AK39" s="18"/>
      <c r="AL39" s="385" t="str">
        <f>IF(OR(ThirdPlaced!$D24&gt;0,ThirdPlaced!$G24&gt;0),ThirdPlaced!$C24,"")</f>
        <v/>
      </c>
      <c r="AM39" s="386" t="str">
        <f>IF(AL39&lt;&gt;"","   "&amp;ThirdPlaced!$D24&amp;"        "&amp;ThirdPlaced!$F24&amp;Sprache!$E$197&amp;ThirdPlaced!$G24,"")</f>
        <v/>
      </c>
      <c r="AN39" s="387" t="str">
        <f>IF(AL39&lt;&gt;"",ThirdPlaced!$I24,"")</f>
        <v/>
      </c>
      <c r="AO39" s="687"/>
      <c r="AP39" s="687"/>
      <c r="AQ39" s="45"/>
      <c r="AR39" s="23"/>
      <c r="AS39" s="23"/>
      <c r="AT39" s="18"/>
      <c r="AU39" s="23"/>
      <c r="AV39" s="23"/>
      <c r="AW39" s="4"/>
    </row>
    <row r="40" spans="1:49" ht="15.75" x14ac:dyDescent="0.25">
      <c r="A40" s="4"/>
      <c r="B40" s="4"/>
      <c r="C40" s="4"/>
      <c r="D40" s="4"/>
      <c r="E40" s="4"/>
      <c r="F40" s="4"/>
      <c r="G40" s="4"/>
      <c r="H40" s="4"/>
      <c r="I40" s="4"/>
      <c r="J40" s="4"/>
      <c r="K40" s="4"/>
      <c r="L40" s="4"/>
      <c r="M40" s="4"/>
      <c r="N40" s="4"/>
      <c r="O40" s="4"/>
      <c r="P40" s="4"/>
      <c r="Q40" s="4"/>
      <c r="R40" s="4"/>
      <c r="S40" s="4"/>
      <c r="T40" s="52"/>
      <c r="U40" s="53"/>
      <c r="V40" s="18"/>
      <c r="W40" s="18"/>
      <c r="X40" s="18"/>
      <c r="Y40" s="4"/>
      <c r="Z40" s="4"/>
      <c r="AA40" s="4"/>
      <c r="AB40" s="4"/>
      <c r="AC40" s="4"/>
      <c r="AD40" s="4"/>
      <c r="AE40" s="4"/>
      <c r="AF40" s="4"/>
      <c r="AG40" s="4"/>
      <c r="AH40" s="4"/>
      <c r="AI40" s="4"/>
      <c r="AJ40" s="4"/>
      <c r="AK40" s="18"/>
      <c r="AL40" s="382" t="str">
        <f>IF(OR(ThirdPlaced!$D25&gt;0,ThirdPlaced!$G25&gt;0),ThirdPlaced!$C25,"")</f>
        <v/>
      </c>
      <c r="AM40" s="383" t="str">
        <f>IF(AL40&lt;&gt;"","   "&amp;ThirdPlaced!$D25&amp;"        "&amp;ThirdPlaced!$F25&amp;Sprache!$E$197&amp;ThirdPlaced!$G25,"")</f>
        <v/>
      </c>
      <c r="AN40" s="384" t="str">
        <f>IF(AL40&lt;&gt;"",ThirdPlaced!$I25,"")</f>
        <v/>
      </c>
      <c r="AO40" s="4"/>
      <c r="AP40" s="4"/>
      <c r="AQ40" s="4"/>
      <c r="AR40" s="268"/>
      <c r="AS40" s="268"/>
      <c r="AT40" s="18"/>
      <c r="AU40" s="18"/>
      <c r="AV40" s="18"/>
      <c r="AW40" s="4"/>
    </row>
    <row r="41" spans="1:49" x14ac:dyDescent="0.25">
      <c r="A41" s="4"/>
      <c r="B41" s="707" t="str">
        <f>B9</f>
        <v>Gruppe A</v>
      </c>
      <c r="C41" s="708"/>
      <c r="D41" s="4"/>
      <c r="E41" s="707" t="str">
        <f>E9</f>
        <v>Gruppe B</v>
      </c>
      <c r="F41" s="708"/>
      <c r="G41" s="4"/>
      <c r="H41" s="707" t="str">
        <f>H9</f>
        <v>Gruppe C</v>
      </c>
      <c r="I41" s="708"/>
      <c r="J41" s="4"/>
      <c r="K41" s="707" t="str">
        <f>K9</f>
        <v>Gruppe D</v>
      </c>
      <c r="L41" s="708"/>
      <c r="M41" s="4"/>
      <c r="N41" s="707" t="str">
        <f>N9</f>
        <v>Gruppe E</v>
      </c>
      <c r="O41" s="708"/>
      <c r="P41" s="4"/>
      <c r="Q41" s="707" t="str">
        <f>Q9</f>
        <v>Gruppe F</v>
      </c>
      <c r="R41" s="708"/>
      <c r="S41" s="4"/>
      <c r="T41" s="707" t="str">
        <f>T9</f>
        <v>Gruppe G</v>
      </c>
      <c r="U41" s="708"/>
      <c r="V41" s="45"/>
      <c r="W41" s="707" t="str">
        <f>W9</f>
        <v>Gruppe H</v>
      </c>
      <c r="X41" s="708"/>
      <c r="Y41" s="4"/>
      <c r="Z41" s="707" t="str">
        <f>Z9</f>
        <v>Gruppe I</v>
      </c>
      <c r="AA41" s="708"/>
      <c r="AB41" s="4"/>
      <c r="AC41" s="707" t="str">
        <f>AC9</f>
        <v>Gruppe J</v>
      </c>
      <c r="AD41" s="708"/>
      <c r="AE41" s="4"/>
      <c r="AF41" s="707" t="str">
        <f>AF9</f>
        <v>Gruppe K</v>
      </c>
      <c r="AG41" s="708"/>
      <c r="AH41" s="4"/>
      <c r="AI41" s="707" t="str">
        <f>AI9</f>
        <v>Gruppe L</v>
      </c>
      <c r="AJ41" s="708"/>
      <c r="AK41" s="18"/>
      <c r="AL41" s="374" t="str">
        <f>IF(OR(ThirdPlaced!$D26&gt;0,ThirdPlaced!$G26&gt;0),ThirdPlaced!$C26,"")</f>
        <v/>
      </c>
      <c r="AM41" s="375" t="str">
        <f>IF(AL41&lt;&gt;"","   "&amp;ThirdPlaced!$D26&amp;"        "&amp;ThirdPlaced!$F26&amp;Sprache!$E$197&amp;ThirdPlaced!$G26,"")</f>
        <v/>
      </c>
      <c r="AN41" s="376" t="str">
        <f>IF(AL41&lt;&gt;"",ThirdPlaced!$I26,"")</f>
        <v/>
      </c>
      <c r="AO41" s="4"/>
      <c r="AP41" s="4"/>
      <c r="AQ41" s="4"/>
      <c r="AR41" s="276"/>
      <c r="AS41" s="276"/>
      <c r="AT41" s="45"/>
      <c r="AU41" s="276"/>
      <c r="AV41" s="276"/>
      <c r="AW41" s="4"/>
    </row>
    <row r="42" spans="1:49" x14ac:dyDescent="0.25">
      <c r="A42" s="82" t="s">
        <v>2</v>
      </c>
      <c r="B42" s="459" t="str">
        <f>IF(CalcA!$L22,B3,"")</f>
        <v/>
      </c>
      <c r="C42" s="458" t="str">
        <f>IF(CalcA!$L22,C3,"")</f>
        <v/>
      </c>
      <c r="D42" s="82" t="s">
        <v>3</v>
      </c>
      <c r="E42" s="457" t="str">
        <f>IF(CalcB!$L22,E3,"")</f>
        <v/>
      </c>
      <c r="F42" s="458" t="str">
        <f>IF(CalcB!$L22,F3,"")</f>
        <v/>
      </c>
      <c r="G42" s="82" t="s">
        <v>4</v>
      </c>
      <c r="H42" s="457" t="str">
        <f>IF(CalcC!$L22,H3,"")</f>
        <v/>
      </c>
      <c r="I42" s="458" t="str">
        <f>IF(CalcC!$L22,I3,"")</f>
        <v/>
      </c>
      <c r="J42" s="82" t="s">
        <v>5</v>
      </c>
      <c r="K42" s="457" t="str">
        <f>IF(CalcD!$L22,K3,"")</f>
        <v/>
      </c>
      <c r="L42" s="458" t="str">
        <f>IF(CalcD!$L22,L3,"")</f>
        <v/>
      </c>
      <c r="M42" s="82" t="s">
        <v>6</v>
      </c>
      <c r="N42" s="457" t="str">
        <f>IF(CalcE!$L22,N3,"")</f>
        <v/>
      </c>
      <c r="O42" s="458" t="str">
        <f>IF(CalcE!$L22,O3,"")</f>
        <v/>
      </c>
      <c r="P42" s="82" t="s">
        <v>7</v>
      </c>
      <c r="Q42" s="457" t="str">
        <f>IF(CalcF!$L22,Q3,"")</f>
        <v/>
      </c>
      <c r="R42" s="458" t="str">
        <f>IF(CalcF!$L22,R3,"")</f>
        <v/>
      </c>
      <c r="S42" s="82" t="s">
        <v>92</v>
      </c>
      <c r="T42" s="457" t="str">
        <f>IF(CalcG!$L22,T3,"")</f>
        <v/>
      </c>
      <c r="U42" s="458" t="str">
        <f>IF(CalcG!$L22,U3,"")</f>
        <v/>
      </c>
      <c r="V42" s="82" t="s">
        <v>95</v>
      </c>
      <c r="W42" s="457" t="str">
        <f>IF(CalcH!$L22,W3,"")</f>
        <v/>
      </c>
      <c r="X42" s="458" t="str">
        <f>IF(CalcH!$L22,X3,"")</f>
        <v/>
      </c>
      <c r="Y42" s="82" t="s">
        <v>828</v>
      </c>
      <c r="Z42" s="457" t="str">
        <f>IF(CalcI!$L22,Z3,"")</f>
        <v/>
      </c>
      <c r="AA42" s="458" t="str">
        <f>IF(CalcI!$L22,AA3,"")</f>
        <v/>
      </c>
      <c r="AB42" s="82" t="s">
        <v>831</v>
      </c>
      <c r="AC42" s="457" t="str">
        <f>IF(CalcJ!$L22,AC3,"")</f>
        <v/>
      </c>
      <c r="AD42" s="458" t="str">
        <f>IF(CalcJ!$L22,AD3,"")</f>
        <v/>
      </c>
      <c r="AE42" s="82" t="s">
        <v>834</v>
      </c>
      <c r="AF42" s="457" t="str">
        <f>IF(CalcK!$L22,AF3,"")</f>
        <v/>
      </c>
      <c r="AG42" s="458" t="str">
        <f>IF(CalcK!$L22,AG3,"")</f>
        <v/>
      </c>
      <c r="AH42" s="82" t="s">
        <v>837</v>
      </c>
      <c r="AI42" s="457" t="str">
        <f>IF(CalcL!$L22,AI3,"")</f>
        <v/>
      </c>
      <c r="AJ42" s="458" t="str">
        <f>IF(CalcL!$L22,AJ3,"")</f>
        <v/>
      </c>
      <c r="AK42" s="273"/>
      <c r="AL42" s="374" t="str">
        <f>IF(OR(ThirdPlaced!$D27&gt;0,ThirdPlaced!$G27&gt;0),ThirdPlaced!$C27,"")</f>
        <v/>
      </c>
      <c r="AM42" s="375" t="str">
        <f>IF(AL42&lt;&gt;"","   "&amp;ThirdPlaced!$D27&amp;"        "&amp;ThirdPlaced!$F27&amp;Sprache!$E$197&amp;ThirdPlaced!$G27,"")</f>
        <v/>
      </c>
      <c r="AN42" s="376" t="str">
        <f>IF(AL42&lt;&gt;"",ThirdPlaced!$I27,"")</f>
        <v/>
      </c>
      <c r="AO42" s="4"/>
      <c r="AP42" s="4"/>
      <c r="AQ42" s="4"/>
      <c r="AR42" s="275"/>
      <c r="AS42" s="275"/>
      <c r="AT42" s="273"/>
      <c r="AU42" s="275"/>
      <c r="AV42" s="275"/>
      <c r="AW42" s="4"/>
    </row>
    <row r="43" spans="1:49" ht="15.75" thickBot="1" x14ac:dyDescent="0.3">
      <c r="A43" s="82" t="s">
        <v>8</v>
      </c>
      <c r="B43" s="457" t="str">
        <f>IF(CalcA!$L23,B4,"")</f>
        <v/>
      </c>
      <c r="C43" s="458" t="str">
        <f>IF(CalcA!$L23,C4,"")</f>
        <v/>
      </c>
      <c r="D43" s="82" t="s">
        <v>9</v>
      </c>
      <c r="E43" s="457" t="str">
        <f>IF(CalcB!$L23,E4,"")</f>
        <v/>
      </c>
      <c r="F43" s="458" t="str">
        <f>IF(CalcB!$L23,F4,"")</f>
        <v/>
      </c>
      <c r="G43" s="82" t="s">
        <v>10</v>
      </c>
      <c r="H43" s="457" t="str">
        <f>IF(CalcC!$L23,H4,"")</f>
        <v/>
      </c>
      <c r="I43" s="458" t="str">
        <f>IF(CalcC!$L23,I4,"")</f>
        <v/>
      </c>
      <c r="J43" s="82" t="s">
        <v>11</v>
      </c>
      <c r="K43" s="457" t="str">
        <f>IF(CalcD!$L23,K4,"")</f>
        <v/>
      </c>
      <c r="L43" s="458" t="str">
        <f>IF(CalcD!$L23,L4,"")</f>
        <v/>
      </c>
      <c r="M43" s="82" t="s">
        <v>12</v>
      </c>
      <c r="N43" s="457" t="str">
        <f>IF(CalcE!$L23,N4,"")</f>
        <v/>
      </c>
      <c r="O43" s="458" t="str">
        <f>IF(CalcE!$L23,O4,"")</f>
        <v/>
      </c>
      <c r="P43" s="82" t="s">
        <v>13</v>
      </c>
      <c r="Q43" s="457" t="str">
        <f>IF(CalcF!$L23,Q4,"")</f>
        <v/>
      </c>
      <c r="R43" s="458" t="str">
        <f>IF(CalcF!$L23,R4,"")</f>
        <v/>
      </c>
      <c r="S43" s="82" t="s">
        <v>93</v>
      </c>
      <c r="T43" s="457" t="str">
        <f>IF(CalcG!$L23,T4,"")</f>
        <v/>
      </c>
      <c r="U43" s="458" t="str">
        <f>IF(CalcG!$L23,U4,"")</f>
        <v/>
      </c>
      <c r="V43" s="82" t="s">
        <v>96</v>
      </c>
      <c r="W43" s="457" t="str">
        <f>IF(CalcH!$L23,W4,"")</f>
        <v/>
      </c>
      <c r="X43" s="458" t="str">
        <f>IF(CalcH!$L23,X4,"")</f>
        <v/>
      </c>
      <c r="Y43" s="82" t="s">
        <v>829</v>
      </c>
      <c r="Z43" s="457" t="str">
        <f>IF(CalcI!$L23,Z4,"")</f>
        <v/>
      </c>
      <c r="AA43" s="458" t="str">
        <f>IF(CalcI!$L23,AA4,"")</f>
        <v/>
      </c>
      <c r="AB43" s="82" t="s">
        <v>832</v>
      </c>
      <c r="AC43" s="457" t="str">
        <f>IF(CalcJ!$L23,AC4,"")</f>
        <v/>
      </c>
      <c r="AD43" s="458" t="str">
        <f>IF(CalcJ!$L23,AD4,"")</f>
        <v/>
      </c>
      <c r="AE43" s="82" t="s">
        <v>835</v>
      </c>
      <c r="AF43" s="457" t="str">
        <f>IF(CalcK!$L23,AF4,"")</f>
        <v/>
      </c>
      <c r="AG43" s="458" t="str">
        <f>IF(CalcK!$L23,AG4,"")</f>
        <v/>
      </c>
      <c r="AH43" s="82" t="s">
        <v>838</v>
      </c>
      <c r="AI43" s="457" t="str">
        <f>IF(CalcL!$L23,AI4,"")</f>
        <v/>
      </c>
      <c r="AJ43" s="458" t="str">
        <f>IF(CalcL!$L23,AJ4,"")</f>
        <v/>
      </c>
      <c r="AK43" s="273"/>
      <c r="AL43" s="388" t="str">
        <f>IF(OR(ThirdPlaced!$D28&gt;0,ThirdPlaced!$G28&gt;0),ThirdPlaced!$C28,"")</f>
        <v/>
      </c>
      <c r="AM43" s="389" t="str">
        <f>IF(AL43&lt;&gt;"","   "&amp;ThirdPlaced!$D28&amp;"        "&amp;ThirdPlaced!$F28&amp;Sprache!$E$197&amp;ThirdPlaced!$G28,"")</f>
        <v/>
      </c>
      <c r="AN43" s="390" t="str">
        <f>IF(AL43&lt;&gt;"",ThirdPlaced!$I28,"")</f>
        <v/>
      </c>
      <c r="AO43" s="4"/>
      <c r="AP43" s="4"/>
      <c r="AQ43" s="4"/>
      <c r="AR43" s="275"/>
      <c r="AS43" s="275"/>
      <c r="AT43" s="273"/>
      <c r="AU43" s="275"/>
      <c r="AV43" s="275"/>
      <c r="AW43" s="4"/>
    </row>
    <row r="44" spans="1:49" x14ac:dyDescent="0.25">
      <c r="A44" s="83" t="s">
        <v>14</v>
      </c>
      <c r="B44" s="455" t="str">
        <f>IF(CalcA!$L24,B5,"")</f>
        <v/>
      </c>
      <c r="C44" s="456" t="str">
        <f>IF(CalcA!$L24,C5,"")</f>
        <v/>
      </c>
      <c r="D44" s="83" t="s">
        <v>15</v>
      </c>
      <c r="E44" s="455" t="str">
        <f>IF(CalcB!$L24,E5,"")</f>
        <v/>
      </c>
      <c r="F44" s="456" t="str">
        <f>IF(CalcB!$L24,F5,"")</f>
        <v/>
      </c>
      <c r="G44" s="83" t="s">
        <v>16</v>
      </c>
      <c r="H44" s="455" t="str">
        <f>IF(CalcC!$L24,H5,"")</f>
        <v/>
      </c>
      <c r="I44" s="456" t="str">
        <f>IF(CalcC!$L24,I5,"")</f>
        <v/>
      </c>
      <c r="J44" s="83" t="s">
        <v>17</v>
      </c>
      <c r="K44" s="455" t="str">
        <f>IF(CalcD!$L24,K5,"")</f>
        <v/>
      </c>
      <c r="L44" s="456" t="str">
        <f>IF(CalcD!$L24,L5,"")</f>
        <v/>
      </c>
      <c r="M44" s="83" t="s">
        <v>18</v>
      </c>
      <c r="N44" s="455" t="str">
        <f>IF(CalcE!$L24,N5,"")</f>
        <v/>
      </c>
      <c r="O44" s="456" t="str">
        <f>IF(CalcE!$L24,O5,"")</f>
        <v/>
      </c>
      <c r="P44" s="83" t="s">
        <v>19</v>
      </c>
      <c r="Q44" s="455" t="str">
        <f>IF(CalcF!$L24,Q5,"")</f>
        <v/>
      </c>
      <c r="R44" s="456" t="str">
        <f>IF(CalcF!$L24,R5,"")</f>
        <v/>
      </c>
      <c r="S44" s="83" t="s">
        <v>94</v>
      </c>
      <c r="T44" s="455" t="str">
        <f>IF(CalcG!$L24,T5,"")</f>
        <v/>
      </c>
      <c r="U44" s="456" t="str">
        <f>IF(CalcG!$L24,U5,"")</f>
        <v/>
      </c>
      <c r="V44" s="83" t="s">
        <v>97</v>
      </c>
      <c r="W44" s="455" t="str">
        <f>IF(CalcH!$L24,W5,"")</f>
        <v/>
      </c>
      <c r="X44" s="456" t="str">
        <f>IF(CalcH!$L24,X5,"")</f>
        <v/>
      </c>
      <c r="Y44" s="83" t="s">
        <v>830</v>
      </c>
      <c r="Z44" s="455" t="str">
        <f>IF(CalcI!$L24,Z5,"")</f>
        <v/>
      </c>
      <c r="AA44" s="456" t="str">
        <f>IF(CalcI!$L24,AA5,"")</f>
        <v/>
      </c>
      <c r="AB44" s="83" t="s">
        <v>833</v>
      </c>
      <c r="AC44" s="455" t="str">
        <f>IF(CalcJ!$L24,AC5,"")</f>
        <v/>
      </c>
      <c r="AD44" s="456" t="str">
        <f>IF(CalcJ!$L24,AD5,"")</f>
        <v/>
      </c>
      <c r="AE44" s="83" t="s">
        <v>836</v>
      </c>
      <c r="AF44" s="455" t="str">
        <f>IF(CalcK!$L24,AF5,"")</f>
        <v/>
      </c>
      <c r="AG44" s="456" t="str">
        <f>IF(CalcK!$L24,AG5,"")</f>
        <v/>
      </c>
      <c r="AH44" s="83" t="s">
        <v>839</v>
      </c>
      <c r="AI44" s="455" t="str">
        <f>IF(CalcL!$L24,AI5,"")</f>
        <v/>
      </c>
      <c r="AJ44" s="456" t="str">
        <f>IF(CalcL!$L24,AJ5,"")</f>
        <v/>
      </c>
      <c r="AK44" s="274"/>
      <c r="AL44" s="689" t="str">
        <f>Sprache!$E$182</f>
        <v>Gruppenkombination:</v>
      </c>
      <c r="AM44" s="690"/>
      <c r="AN44" s="691"/>
      <c r="AO44" s="275"/>
      <c r="AP44" s="275"/>
      <c r="AQ44" s="274"/>
      <c r="AR44" s="275"/>
      <c r="AS44" s="275"/>
      <c r="AT44" s="274"/>
      <c r="AU44" s="275"/>
      <c r="AV44" s="275"/>
      <c r="AW44" s="4"/>
    </row>
    <row r="45" spans="1:49" x14ac:dyDescent="0.25">
      <c r="A45" s="83" t="s">
        <v>1604</v>
      </c>
      <c r="B45" s="455" t="str">
        <f>IF(CalcA!$L25,B6,"")</f>
        <v/>
      </c>
      <c r="C45" s="456" t="str">
        <f>IF(CalcA!$L25,C6,"")</f>
        <v/>
      </c>
      <c r="D45" s="83" t="s">
        <v>1605</v>
      </c>
      <c r="E45" s="455" t="str">
        <f>IF(CalcB!$L25,E6,"")</f>
        <v/>
      </c>
      <c r="F45" s="456" t="str">
        <f>IF(CalcB!$L25,F6,"")</f>
        <v/>
      </c>
      <c r="G45" s="83" t="s">
        <v>1606</v>
      </c>
      <c r="H45" s="455" t="str">
        <f>IF(CalcC!$L25,H6,"")</f>
        <v/>
      </c>
      <c r="I45" s="456" t="str">
        <f>IF(CalcC!$L25,I6,"")</f>
        <v/>
      </c>
      <c r="J45" s="83" t="s">
        <v>1607</v>
      </c>
      <c r="K45" s="455" t="str">
        <f>IF(CalcD!$L25,K6,"")</f>
        <v/>
      </c>
      <c r="L45" s="456" t="str">
        <f>IF(CalcD!$L25,L6,"")</f>
        <v/>
      </c>
      <c r="M45" s="83" t="s">
        <v>1608</v>
      </c>
      <c r="N45" s="455" t="str">
        <f>IF(CalcE!$L25,N6,"")</f>
        <v/>
      </c>
      <c r="O45" s="456" t="str">
        <f>IF(CalcE!$L25,O6,"")</f>
        <v/>
      </c>
      <c r="P45" s="83" t="s">
        <v>1609</v>
      </c>
      <c r="Q45" s="455" t="str">
        <f>IF(CalcF!$L25,Q6,"")</f>
        <v/>
      </c>
      <c r="R45" s="456" t="str">
        <f>IF(CalcF!$L25,R6,"")</f>
        <v/>
      </c>
      <c r="S45" s="83" t="s">
        <v>1610</v>
      </c>
      <c r="T45" s="455" t="str">
        <f>IF(CalcG!$L25,T6,"")</f>
        <v/>
      </c>
      <c r="U45" s="456" t="str">
        <f>IF(CalcG!$L25,U6,"")</f>
        <v/>
      </c>
      <c r="V45" s="83" t="s">
        <v>1611</v>
      </c>
      <c r="W45" s="455" t="str">
        <f>IF(CalcH!$L25,W6,"")</f>
        <v/>
      </c>
      <c r="X45" s="456" t="str">
        <f>IF(CalcH!$L25,X6,"")</f>
        <v/>
      </c>
      <c r="Y45" s="83" t="s">
        <v>1612</v>
      </c>
      <c r="Z45" s="455" t="str">
        <f>IF(CalcI!$L25,Z6,"")</f>
        <v/>
      </c>
      <c r="AA45" s="456" t="str">
        <f>IF(CalcI!$L25,AA6,"")</f>
        <v/>
      </c>
      <c r="AB45" s="83" t="s">
        <v>1613</v>
      </c>
      <c r="AC45" s="455" t="str">
        <f>IF(CalcJ!$L25,AC6,"")</f>
        <v/>
      </c>
      <c r="AD45" s="456" t="str">
        <f>IF(CalcJ!$L25,AD6,"")</f>
        <v/>
      </c>
      <c r="AE45" s="83" t="s">
        <v>1614</v>
      </c>
      <c r="AF45" s="455" t="str">
        <f>IF(CalcK!$L25,AF6,"")</f>
        <v/>
      </c>
      <c r="AG45" s="456" t="str">
        <f>IF(CalcK!$L25,AG6,"")</f>
        <v/>
      </c>
      <c r="AH45" s="83" t="s">
        <v>1615</v>
      </c>
      <c r="AI45" s="455" t="str">
        <f>IF(CalcL!$L25,AI6,"")</f>
        <v/>
      </c>
      <c r="AJ45" s="456" t="str">
        <f>IF(CalcL!$L25,AJ6,"")</f>
        <v/>
      </c>
      <c r="AK45" s="274"/>
      <c r="AL45" s="692" t="str">
        <f>IF(Distinctness!$G$17&gt;0,ThirdPlaced!$I30,"")</f>
        <v/>
      </c>
      <c r="AM45" s="693"/>
      <c r="AN45" s="694"/>
      <c r="AO45" s="275"/>
      <c r="AP45" s="275"/>
      <c r="AQ45" s="274"/>
      <c r="AR45" s="275"/>
      <c r="AS45" s="275"/>
      <c r="AT45" s="274"/>
      <c r="AU45" s="275"/>
      <c r="AV45" s="275"/>
      <c r="AW45" s="4"/>
    </row>
    <row r="46" spans="1:49" ht="33"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row>
    <row r="47" spans="1:49" ht="16.5" thickBot="1" x14ac:dyDescent="0.3">
      <c r="A47" s="4"/>
      <c r="B47" s="702" t="str">
        <f>VLOOKUP(VLOOKUP(A48,Matches!$B$77:$K$92,10,0),Sprache!$D$142:$E$157,2,0)</f>
        <v>Sechzehntelfinale 3</v>
      </c>
      <c r="C47" s="703"/>
      <c r="D47" s="4"/>
      <c r="E47" s="702" t="str">
        <f>VLOOKUP(VLOOKUP(D48,Matches!$B$77:$K$92,10,0),Sprache!$D$142:$E$157,2,0)</f>
        <v>Sechzehntelfinale 6</v>
      </c>
      <c r="F47" s="703"/>
      <c r="G47" s="4"/>
      <c r="H47" s="702" t="str">
        <f>VLOOKUP(VLOOKUP(G48,Matches!$B$77:$K$92,10,0),Sprache!$D$142:$E$157,2,0)</f>
        <v>Sechzehntelfinale 1</v>
      </c>
      <c r="I47" s="703"/>
      <c r="J47" s="4"/>
      <c r="K47" s="702" t="str">
        <f>VLOOKUP(VLOOKUP(J48,Matches!$B$77:$K$92,10,0),Sprache!$D$142:$E$157,2,0)</f>
        <v>Sechzehntelfinale 4</v>
      </c>
      <c r="L47" s="703"/>
      <c r="M47" s="4"/>
      <c r="N47" s="702" t="str">
        <f>VLOOKUP(VLOOKUP(M48,Matches!$B$77:$K$92,10,0),Sprache!$D$142:$E$157,2,0)</f>
        <v>Sechzehntelfinale 12</v>
      </c>
      <c r="O47" s="703"/>
      <c r="P47" s="4"/>
      <c r="Q47" s="702" t="str">
        <f>VLOOKUP(VLOOKUP(P48,Matches!$B$77:$K$92,10,0),Sprache!$D$142:$E$157,2,0)</f>
        <v>Sechzehntelfinale 11</v>
      </c>
      <c r="R47" s="703"/>
      <c r="S47" s="4"/>
      <c r="T47" s="702" t="str">
        <f>VLOOKUP(VLOOKUP(S48,Matches!$B$77:$K$92,10,0),Sprache!$D$142:$E$157,2,0)</f>
        <v>Sechzehntelfinale 10</v>
      </c>
      <c r="U47" s="703"/>
      <c r="V47" s="4"/>
      <c r="W47" s="702" t="str">
        <f>VLOOKUP(VLOOKUP(V48,Matches!$B$77:$K$92,10,0),Sprache!$D$142:$E$157,2,0)</f>
        <v>Sechzehntelfinale 9</v>
      </c>
      <c r="X47" s="703"/>
      <c r="Y47" s="4"/>
      <c r="Z47" s="702" t="str">
        <f>VLOOKUP(VLOOKUP(Y48,Matches!$B$77:$K$92,10,0),Sprache!$D$142:$E$157,2,0)</f>
        <v>Sechzehntelfinale 2</v>
      </c>
      <c r="AA47" s="703"/>
      <c r="AB47" s="4"/>
      <c r="AC47" s="702" t="str">
        <f>VLOOKUP(VLOOKUP(AB48,Matches!$B$77:$K$92,10,0),Sprache!$D$142:$E$157,2,0)</f>
        <v>Sechzehntelfinale 5</v>
      </c>
      <c r="AD47" s="703"/>
      <c r="AE47" s="4"/>
      <c r="AF47" s="702" t="str">
        <f>VLOOKUP(VLOOKUP(AE48,Matches!$B$77:$K$92,10,0),Sprache!$D$142:$E$157,2,0)</f>
        <v>Sechzehntelfinale 7</v>
      </c>
      <c r="AG47" s="703"/>
      <c r="AH47" s="4"/>
      <c r="AI47" s="702" t="str">
        <f>VLOOKUP(VLOOKUP(AH48,Matches!$B$77:$K$92,10,0),Sprache!$D$142:$E$157,2,0)</f>
        <v>Sechzehntelfinale 8</v>
      </c>
      <c r="AJ47" s="703"/>
      <c r="AK47" s="4"/>
      <c r="AL47" s="702" t="str">
        <f>VLOOKUP(VLOOKUP(AK48,Matches!$B$77:$K$92,10,0),Sprache!$D$142:$E$157,2,0)</f>
        <v>Sechzehntelfinale 15</v>
      </c>
      <c r="AM47" s="703"/>
      <c r="AN47" s="4"/>
      <c r="AO47" s="702" t="str">
        <f>VLOOKUP(VLOOKUP(AN48,Matches!$B$77:$K$92,10,0),Sprache!$D$142:$E$157,2,0)</f>
        <v>Sechzehntelfinale 14</v>
      </c>
      <c r="AP47" s="703"/>
      <c r="AQ47" s="4"/>
      <c r="AR47" s="702" t="str">
        <f>VLOOKUP(VLOOKUP(AQ48,Matches!$B$77:$K$92,10,0),Sprache!$D$142:$E$157,2,0)</f>
        <v>Sechzehntelfinale 13</v>
      </c>
      <c r="AS47" s="703"/>
      <c r="AT47" s="4"/>
      <c r="AU47" s="702" t="str">
        <f>VLOOKUP(VLOOKUP(AT48,Matches!$B$77:$K$92,10,0),Sprache!$D$142:$E$157,2,0)</f>
        <v>Sechzehntelfinale 16</v>
      </c>
      <c r="AV47" s="703"/>
      <c r="AW47" s="4"/>
    </row>
    <row r="48" spans="1:49" x14ac:dyDescent="0.25">
      <c r="A48" s="86">
        <f>RIGHT($B$64,2)*1</f>
        <v>74</v>
      </c>
      <c r="B48" s="699" t="str">
        <f>VLOOKUP(A48,Matches!$B$4:$K$113,7,0)</f>
        <v>Boston</v>
      </c>
      <c r="C48" s="700"/>
      <c r="D48" s="86">
        <f>RIGHT($C$64,2)*1</f>
        <v>77</v>
      </c>
      <c r="E48" s="699" t="str">
        <f>VLOOKUP(D48,Matches!$B$4:$K$113,7,0)</f>
        <v>New York/New Jersey</v>
      </c>
      <c r="F48" s="700"/>
      <c r="G48" s="86">
        <f>RIGHT($E$64,2)*1</f>
        <v>73</v>
      </c>
      <c r="H48" s="699" t="str">
        <f>VLOOKUP(G48,Matches!$B$4:$K$113,7,0)</f>
        <v>Los Angeles</v>
      </c>
      <c r="I48" s="700"/>
      <c r="J48" s="86">
        <f>RIGHT($F$64,2)*1</f>
        <v>75</v>
      </c>
      <c r="K48" s="699" t="str">
        <f>VLOOKUP(J48,Matches!$B$4:$K$113,7,0)</f>
        <v>Monterrey</v>
      </c>
      <c r="L48" s="700"/>
      <c r="M48" s="86">
        <f>RIGHT($H$64,2)*1</f>
        <v>83</v>
      </c>
      <c r="N48" s="699" t="str">
        <f>VLOOKUP(M48,Matches!$B$4:$K$113,7,0)</f>
        <v>Toronto</v>
      </c>
      <c r="O48" s="700"/>
      <c r="P48" s="86">
        <f>RIGHT($I$64,2)*1</f>
        <v>84</v>
      </c>
      <c r="Q48" s="699" t="str">
        <f>VLOOKUP(P48,Matches!$B$4:$K$113,7,0)</f>
        <v>Los Angeles</v>
      </c>
      <c r="R48" s="700"/>
      <c r="S48" s="86">
        <f>RIGHT($K$64,2)*1</f>
        <v>81</v>
      </c>
      <c r="T48" s="699" t="str">
        <f>VLOOKUP(S48,Matches!$B$4:$K$113,7,0)</f>
        <v>San Francisco Bay Area</v>
      </c>
      <c r="U48" s="700"/>
      <c r="V48" s="86">
        <f>RIGHT($L$64,2)*1</f>
        <v>82</v>
      </c>
      <c r="W48" s="699" t="str">
        <f>VLOOKUP(V48,Matches!$B$4:$K$113,7,0)</f>
        <v>Seattle</v>
      </c>
      <c r="X48" s="700"/>
      <c r="Y48" s="86">
        <f>RIGHT($N$64,2)*1</f>
        <v>76</v>
      </c>
      <c r="Z48" s="699" t="str">
        <f>VLOOKUP(Y48,Matches!$B$4:$K$113,7,0)</f>
        <v>Houston</v>
      </c>
      <c r="AA48" s="700"/>
      <c r="AB48" s="86">
        <f>RIGHT($O$64,2)*1</f>
        <v>78</v>
      </c>
      <c r="AC48" s="699" t="str">
        <f>VLOOKUP(AB48,Matches!$B$4:$K$113,7,0)</f>
        <v>Dallas</v>
      </c>
      <c r="AD48" s="700"/>
      <c r="AE48" s="86">
        <f>RIGHT($Q$64,2)*1</f>
        <v>79</v>
      </c>
      <c r="AF48" s="699" t="str">
        <f>VLOOKUP(AE48,Matches!$B$4:$K$113,7,0)</f>
        <v>Mexico City</v>
      </c>
      <c r="AG48" s="700"/>
      <c r="AH48" s="86">
        <f>RIGHT($R$64,2)*1</f>
        <v>80</v>
      </c>
      <c r="AI48" s="699" t="str">
        <f>VLOOKUP(AH48,Matches!$B$4:$K$113,7,0)</f>
        <v>Atlanta</v>
      </c>
      <c r="AJ48" s="700"/>
      <c r="AK48" s="86">
        <f>RIGHT($T$64,2)*1</f>
        <v>86</v>
      </c>
      <c r="AL48" s="699" t="str">
        <f>VLOOKUP(AK48,Matches!$B$4:$K$113,7,0)</f>
        <v>Miami</v>
      </c>
      <c r="AM48" s="700"/>
      <c r="AN48" s="86">
        <f>RIGHT($U$64,2)*1</f>
        <v>88</v>
      </c>
      <c r="AO48" s="699" t="str">
        <f>VLOOKUP(AN48,Matches!$B$4:$K$113,7,0)</f>
        <v>Dallas</v>
      </c>
      <c r="AP48" s="700"/>
      <c r="AQ48" s="86">
        <f>RIGHT($W$64,2)*1</f>
        <v>85</v>
      </c>
      <c r="AR48" s="699" t="str">
        <f>VLOOKUP(AQ48,Matches!$B$4:$K$113,7,0)</f>
        <v>Vancouver</v>
      </c>
      <c r="AS48" s="700"/>
      <c r="AT48" s="86">
        <f>RIGHT($X$64,2)*1</f>
        <v>87</v>
      </c>
      <c r="AU48" s="699" t="str">
        <f>VLOOKUP(AT48,Matches!$B$4:$K$113,7,0)</f>
        <v>Kansas City</v>
      </c>
      <c r="AV48" s="700"/>
      <c r="AW48" s="4"/>
    </row>
    <row r="49" spans="1:49" x14ac:dyDescent="0.25">
      <c r="A49" s="4"/>
      <c r="B49" s="697">
        <f>VLOOKUP(A48,Matches!$B$4:$K$113,5,0)</f>
        <v>46202.9375</v>
      </c>
      <c r="C49" s="698"/>
      <c r="D49" s="4"/>
      <c r="E49" s="697">
        <f>VLOOKUP(D48,Matches!$B$4:$K$113,5,0)</f>
        <v>46203.958333333336</v>
      </c>
      <c r="F49" s="698"/>
      <c r="G49" s="4"/>
      <c r="H49" s="697">
        <f>VLOOKUP(G48,Matches!$B$4:$K$113,5,0)</f>
        <v>46201.875</v>
      </c>
      <c r="I49" s="698"/>
      <c r="J49" s="4"/>
      <c r="K49" s="697">
        <f>VLOOKUP(J48,Matches!$B$4:$K$113,5,0)</f>
        <v>46203.125</v>
      </c>
      <c r="L49" s="698"/>
      <c r="M49" s="4"/>
      <c r="N49" s="697">
        <f>VLOOKUP(M48,Matches!$B$4:$K$113,5,0)</f>
        <v>46206.041666666664</v>
      </c>
      <c r="O49" s="698"/>
      <c r="P49" s="4"/>
      <c r="Q49" s="697">
        <f>VLOOKUP(P48,Matches!$B$4:$K$113,5,0)</f>
        <v>46205.875</v>
      </c>
      <c r="R49" s="698"/>
      <c r="S49" s="4"/>
      <c r="T49" s="697">
        <f>VLOOKUP(S48,Matches!$B$4:$K$113,5,0)</f>
        <v>46205.083333333336</v>
      </c>
      <c r="U49" s="698"/>
      <c r="V49" s="7"/>
      <c r="W49" s="697">
        <f>VLOOKUP(V48,Matches!$B$4:$K$113,5,0)</f>
        <v>46204.916666666664</v>
      </c>
      <c r="X49" s="698"/>
      <c r="Y49" s="4"/>
      <c r="Z49" s="697">
        <f>VLOOKUP(Y48,Matches!$B$4:$K$113,5,0)</f>
        <v>46202.791666666664</v>
      </c>
      <c r="AA49" s="698"/>
      <c r="AB49" s="4"/>
      <c r="AC49" s="697">
        <f>VLOOKUP(AB48,Matches!$B$4:$K$113,5,0)</f>
        <v>46203.791666666664</v>
      </c>
      <c r="AD49" s="698"/>
      <c r="AE49" s="4"/>
      <c r="AF49" s="697">
        <f>VLOOKUP(AE48,Matches!$B$4:$K$113,5,0)</f>
        <v>46204.125</v>
      </c>
      <c r="AG49" s="698"/>
      <c r="AH49" s="4"/>
      <c r="AI49" s="697">
        <f>VLOOKUP(AH48,Matches!$B$4:$K$113,5,0)</f>
        <v>46204.75</v>
      </c>
      <c r="AJ49" s="698"/>
      <c r="AK49" s="4"/>
      <c r="AL49" s="697">
        <f>VLOOKUP(AK48,Matches!$B$4:$K$113,5,0)</f>
        <v>46207</v>
      </c>
      <c r="AM49" s="698"/>
      <c r="AN49" s="4"/>
      <c r="AO49" s="697">
        <f>VLOOKUP(AN48,Matches!$B$4:$K$113,5,0)</f>
        <v>46206.833333333336</v>
      </c>
      <c r="AP49" s="698"/>
      <c r="AQ49" s="4"/>
      <c r="AR49" s="697">
        <f>VLOOKUP(AQ48,Matches!$B$4:$K$113,5,0)</f>
        <v>46206.208333333336</v>
      </c>
      <c r="AS49" s="698"/>
      <c r="AT49" s="7"/>
      <c r="AU49" s="697">
        <f>VLOOKUP(AT48,Matches!$B$4:$K$113,5,0)</f>
        <v>46207.145833333336</v>
      </c>
      <c r="AV49" s="698"/>
      <c r="AW49" s="4"/>
    </row>
    <row r="50" spans="1:49" x14ac:dyDescent="0.25">
      <c r="A50" s="4"/>
      <c r="B50" s="41" t="str">
        <f>VLOOKUP(A48,Matches!$B$4:$K$113,8,0)</f>
        <v/>
      </c>
      <c r="C50" s="42" t="str">
        <f>VLOOKUP(A48,Matches!$B$4:$K$113,9,0)</f>
        <v/>
      </c>
      <c r="D50" s="4"/>
      <c r="E50" s="41" t="str">
        <f>VLOOKUP(D48,Matches!$B$4:$K$113,8,0)</f>
        <v/>
      </c>
      <c r="F50" s="42" t="str">
        <f>VLOOKUP(D48,Matches!$B$4:$K$113,9,0)</f>
        <v/>
      </c>
      <c r="G50" s="4"/>
      <c r="H50" s="41" t="str">
        <f>VLOOKUP(G48,Matches!$B$4:$K$113,8,0)</f>
        <v/>
      </c>
      <c r="I50" s="42" t="str">
        <f>VLOOKUP(G48,Matches!$B$4:$K$113,9,0)</f>
        <v/>
      </c>
      <c r="J50" s="4"/>
      <c r="K50" s="41" t="str">
        <f>VLOOKUP(J48,Matches!$B$4:$K$113,8,0)</f>
        <v/>
      </c>
      <c r="L50" s="42" t="str">
        <f>VLOOKUP(J48,Matches!$B$4:$K$113,9,0)</f>
        <v/>
      </c>
      <c r="M50" s="4"/>
      <c r="N50" s="41" t="str">
        <f>VLOOKUP(M48,Matches!$B$4:$K$113,8,0)</f>
        <v/>
      </c>
      <c r="O50" s="42" t="str">
        <f>VLOOKUP(M48,Matches!$B$4:$K$113,9,0)</f>
        <v/>
      </c>
      <c r="P50" s="4"/>
      <c r="Q50" s="41" t="str">
        <f>VLOOKUP(P48,Matches!$B$4:$K$113,8,0)</f>
        <v/>
      </c>
      <c r="R50" s="42" t="str">
        <f>VLOOKUP(P48,Matches!$B$4:$K$113,9,0)</f>
        <v/>
      </c>
      <c r="S50" s="4"/>
      <c r="T50" s="41" t="str">
        <f>VLOOKUP(S48,Matches!$B$4:$K$113,8,0)</f>
        <v/>
      </c>
      <c r="U50" s="42" t="str">
        <f>VLOOKUP(S48,Matches!$B$4:$K$113,9,0)</f>
        <v/>
      </c>
      <c r="V50" s="4"/>
      <c r="W50" s="41" t="str">
        <f>VLOOKUP(V48,Matches!$B$4:$K$113,8,0)</f>
        <v/>
      </c>
      <c r="X50" s="42" t="str">
        <f>VLOOKUP(V48,Matches!$B$4:$K$113,9,0)</f>
        <v/>
      </c>
      <c r="Y50" s="4"/>
      <c r="Z50" s="41" t="str">
        <f>VLOOKUP(Y48,Matches!$B$4:$K$113,8,0)</f>
        <v/>
      </c>
      <c r="AA50" s="42" t="str">
        <f>VLOOKUP(Y48,Matches!$B$4:$K$113,9,0)</f>
        <v/>
      </c>
      <c r="AB50" s="4"/>
      <c r="AC50" s="41" t="str">
        <f>VLOOKUP(AB48,Matches!$B$4:$K$113,8,0)</f>
        <v/>
      </c>
      <c r="AD50" s="42" t="str">
        <f>VLOOKUP(AB48,Matches!$B$4:$K$113,9,0)</f>
        <v/>
      </c>
      <c r="AE50" s="4"/>
      <c r="AF50" s="41" t="str">
        <f>VLOOKUP(AE48,Matches!$B$4:$K$113,8,0)</f>
        <v/>
      </c>
      <c r="AG50" s="42" t="str">
        <f>VLOOKUP(AE48,Matches!$B$4:$K$113,9,0)</f>
        <v/>
      </c>
      <c r="AH50" s="4"/>
      <c r="AI50" s="41" t="str">
        <f>VLOOKUP(AH48,Matches!$B$4:$K$113,8,0)</f>
        <v/>
      </c>
      <c r="AJ50" s="42" t="str">
        <f>VLOOKUP(AH48,Matches!$B$4:$K$113,9,0)</f>
        <v/>
      </c>
      <c r="AK50" s="4"/>
      <c r="AL50" s="41" t="str">
        <f>VLOOKUP(AK48,Matches!$B$4:$K$113,8,0)</f>
        <v/>
      </c>
      <c r="AM50" s="42" t="str">
        <f>VLOOKUP(AK48,Matches!$B$4:$K$113,9,0)</f>
        <v/>
      </c>
      <c r="AN50" s="4"/>
      <c r="AO50" s="41" t="str">
        <f>VLOOKUP(AN48,Matches!$B$4:$K$113,8,0)</f>
        <v/>
      </c>
      <c r="AP50" s="42" t="str">
        <f>VLOOKUP(AN48,Matches!$B$4:$K$113,9,0)</f>
        <v/>
      </c>
      <c r="AQ50" s="4"/>
      <c r="AR50" s="41" t="str">
        <f>VLOOKUP(AQ48,Matches!$B$4:$K$113,8,0)</f>
        <v/>
      </c>
      <c r="AS50" s="42" t="str">
        <f>VLOOKUP(AQ48,Matches!$B$4:$K$113,9,0)</f>
        <v/>
      </c>
      <c r="AT50" s="4"/>
      <c r="AU50" s="41" t="str">
        <f>VLOOKUP(AT48,Matches!$B$4:$K$113,8,0)</f>
        <v/>
      </c>
      <c r="AV50" s="42" t="str">
        <f>VLOOKUP(AT48,Matches!$B$4:$K$113,9,0)</f>
        <v/>
      </c>
      <c r="AW50" s="4"/>
    </row>
    <row r="51" spans="1:49" ht="15.75" thickBot="1" x14ac:dyDescent="0.3">
      <c r="A51" s="4"/>
      <c r="B51" s="1"/>
      <c r="C51" s="2"/>
      <c r="D51" s="205"/>
      <c r="E51" s="1"/>
      <c r="F51" s="2"/>
      <c r="G51" s="205"/>
      <c r="H51" s="1"/>
      <c r="I51" s="2"/>
      <c r="J51" s="205"/>
      <c r="K51" s="1"/>
      <c r="L51" s="2"/>
      <c r="M51" s="205"/>
      <c r="N51" s="1"/>
      <c r="O51" s="2"/>
      <c r="P51" s="205"/>
      <c r="Q51" s="1"/>
      <c r="R51" s="2"/>
      <c r="S51" s="205"/>
      <c r="T51" s="1"/>
      <c r="U51" s="2"/>
      <c r="V51" s="205"/>
      <c r="W51" s="1"/>
      <c r="X51" s="2"/>
      <c r="Y51" s="205"/>
      <c r="Z51" s="1"/>
      <c r="AA51" s="2"/>
      <c r="AB51" s="205"/>
      <c r="AC51" s="1"/>
      <c r="AD51" s="2"/>
      <c r="AE51" s="205"/>
      <c r="AF51" s="1"/>
      <c r="AG51" s="2"/>
      <c r="AH51" s="205"/>
      <c r="AI51" s="1"/>
      <c r="AJ51" s="2"/>
      <c r="AK51" s="205"/>
      <c r="AL51" s="1"/>
      <c r="AM51" s="2"/>
      <c r="AN51" s="205"/>
      <c r="AO51" s="1"/>
      <c r="AP51" s="2"/>
      <c r="AQ51" s="205"/>
      <c r="AR51" s="1"/>
      <c r="AS51" s="2"/>
      <c r="AT51" s="205"/>
      <c r="AU51" s="1"/>
      <c r="AV51" s="2"/>
      <c r="AW51" s="206"/>
    </row>
    <row r="52" spans="1:49" ht="9.9499999999999993" customHeight="1" x14ac:dyDescent="0.25">
      <c r="A52" s="4"/>
      <c r="B52" s="733" t="str">
        <f>Sprache!$E$175</f>
        <v>Elfmeterschießen:</v>
      </c>
      <c r="C52" s="734"/>
      <c r="D52" s="4"/>
      <c r="E52" s="733" t="str">
        <f>Sprache!$E$175</f>
        <v>Elfmeterschießen:</v>
      </c>
      <c r="F52" s="734"/>
      <c r="G52" s="4"/>
      <c r="H52" s="733" t="str">
        <f>Sprache!$E$175</f>
        <v>Elfmeterschießen:</v>
      </c>
      <c r="I52" s="734"/>
      <c r="J52" s="4"/>
      <c r="K52" s="733" t="str">
        <f>Sprache!$E$175</f>
        <v>Elfmeterschießen:</v>
      </c>
      <c r="L52" s="734"/>
      <c r="M52" s="4"/>
      <c r="N52" s="733" t="str">
        <f>Sprache!$E$175</f>
        <v>Elfmeterschießen:</v>
      </c>
      <c r="O52" s="734"/>
      <c r="P52" s="4"/>
      <c r="Q52" s="733" t="str">
        <f>Sprache!$E$175</f>
        <v>Elfmeterschießen:</v>
      </c>
      <c r="R52" s="734"/>
      <c r="S52" s="4"/>
      <c r="T52" s="733" t="str">
        <f>Sprache!$E$175</f>
        <v>Elfmeterschießen:</v>
      </c>
      <c r="U52" s="734"/>
      <c r="V52" s="4"/>
      <c r="W52" s="733" t="str">
        <f>Sprache!$E$175</f>
        <v>Elfmeterschießen:</v>
      </c>
      <c r="X52" s="734"/>
      <c r="Y52" s="4"/>
      <c r="Z52" s="733" t="str">
        <f>Sprache!$E$175</f>
        <v>Elfmeterschießen:</v>
      </c>
      <c r="AA52" s="734"/>
      <c r="AB52" s="4"/>
      <c r="AC52" s="733" t="str">
        <f>Sprache!$E$175</f>
        <v>Elfmeterschießen:</v>
      </c>
      <c r="AD52" s="734"/>
      <c r="AE52" s="4"/>
      <c r="AF52" s="733" t="str">
        <f>Sprache!$E$175</f>
        <v>Elfmeterschießen:</v>
      </c>
      <c r="AG52" s="734"/>
      <c r="AH52" s="4"/>
      <c r="AI52" s="733" t="str">
        <f>Sprache!$E$175</f>
        <v>Elfmeterschießen:</v>
      </c>
      <c r="AJ52" s="734"/>
      <c r="AK52" s="4"/>
      <c r="AL52" s="705" t="str">
        <f>Sprache!$E$175</f>
        <v>Elfmeterschießen:</v>
      </c>
      <c r="AM52" s="706"/>
      <c r="AN52" s="4"/>
      <c r="AO52" s="705" t="str">
        <f>Sprache!$E$175</f>
        <v>Elfmeterschießen:</v>
      </c>
      <c r="AP52" s="706"/>
      <c r="AQ52" s="4"/>
      <c r="AR52" s="705" t="str">
        <f>Sprache!$E$175</f>
        <v>Elfmeterschießen:</v>
      </c>
      <c r="AS52" s="706"/>
      <c r="AT52" s="4"/>
      <c r="AU52" s="705" t="str">
        <f>Sprache!$E$175</f>
        <v>Elfmeterschießen:</v>
      </c>
      <c r="AV52" s="706"/>
      <c r="AW52" s="4"/>
    </row>
    <row r="53" spans="1:49" ht="15.75" thickBot="1" x14ac:dyDescent="0.3">
      <c r="A53" s="4"/>
      <c r="B53" s="199"/>
      <c r="C53" s="200"/>
      <c r="D53" s="4"/>
      <c r="E53" s="199"/>
      <c r="F53" s="200"/>
      <c r="G53" s="4"/>
      <c r="H53" s="199"/>
      <c r="I53" s="200"/>
      <c r="J53" s="4"/>
      <c r="K53" s="199"/>
      <c r="L53" s="200"/>
      <c r="M53" s="4"/>
      <c r="N53" s="199"/>
      <c r="O53" s="200"/>
      <c r="P53" s="4"/>
      <c r="Q53" s="199"/>
      <c r="R53" s="200"/>
      <c r="S53" s="4"/>
      <c r="T53" s="199"/>
      <c r="U53" s="200"/>
      <c r="V53" s="4"/>
      <c r="W53" s="199"/>
      <c r="X53" s="200"/>
      <c r="Y53" s="4"/>
      <c r="Z53" s="199"/>
      <c r="AA53" s="200"/>
      <c r="AB53" s="4"/>
      <c r="AC53" s="199"/>
      <c r="AD53" s="200"/>
      <c r="AE53" s="4"/>
      <c r="AF53" s="199"/>
      <c r="AG53" s="200"/>
      <c r="AH53" s="4"/>
      <c r="AI53" s="199"/>
      <c r="AJ53" s="200"/>
      <c r="AK53" s="4"/>
      <c r="AL53" s="199"/>
      <c r="AM53" s="200"/>
      <c r="AN53" s="4"/>
      <c r="AO53" s="199"/>
      <c r="AP53" s="200"/>
      <c r="AQ53" s="4"/>
      <c r="AR53" s="199"/>
      <c r="AS53" s="200"/>
      <c r="AT53" s="4"/>
      <c r="AU53" s="199"/>
      <c r="AV53" s="200"/>
      <c r="AW53" s="4"/>
    </row>
    <row r="54" spans="1:49" x14ac:dyDescent="0.25">
      <c r="A54" s="10"/>
      <c r="B54" s="21" t="str">
        <f>VLOOKUP(A48,Matches!$B$4:$K$113,2,0)</f>
        <v>1E</v>
      </c>
      <c r="C54" s="11" t="str">
        <f>VLOOKUP(A48,Matches!$B$4:$K$113,3,0)</f>
        <v>3-ABCDF</v>
      </c>
      <c r="D54" s="11"/>
      <c r="E54" s="21" t="str">
        <f>VLOOKUP(D48,Matches!$B$4:$K$113,2,0)</f>
        <v>1I</v>
      </c>
      <c r="F54" s="11" t="str">
        <f>VLOOKUP(D48,Matches!$B$4:$K$113,3,0)</f>
        <v>3-CDFGH</v>
      </c>
      <c r="G54" s="11"/>
      <c r="H54" s="21" t="str">
        <f>VLOOKUP(G48,Matches!$B$4:$K$113,2,0)</f>
        <v>2A</v>
      </c>
      <c r="I54" s="11" t="str">
        <f>VLOOKUP(G48,Matches!$B$4:$K$113,3,0)</f>
        <v>2B</v>
      </c>
      <c r="J54" s="11"/>
      <c r="K54" s="21" t="str">
        <f>VLOOKUP(J48,Matches!$B$4:$K$113,2,0)</f>
        <v>1F</v>
      </c>
      <c r="L54" s="11" t="str">
        <f>VLOOKUP(J48,Matches!$B$4:$K$113,3,0)</f>
        <v>2C</v>
      </c>
      <c r="M54" s="11"/>
      <c r="N54" s="21" t="str">
        <f>VLOOKUP(M48,Matches!$B$4:$K$113,2,0)</f>
        <v>2K</v>
      </c>
      <c r="O54" s="11" t="str">
        <f>VLOOKUP(M48,Matches!$B$4:$K$113,3,0)</f>
        <v>2L</v>
      </c>
      <c r="P54" s="11"/>
      <c r="Q54" s="21" t="str">
        <f>VLOOKUP(P48,Matches!$B$4:$K$113,2,0)</f>
        <v>1H</v>
      </c>
      <c r="R54" s="11" t="str">
        <f>VLOOKUP(P48,Matches!$B$4:$K$113,3,0)</f>
        <v>2J</v>
      </c>
      <c r="S54" s="11"/>
      <c r="T54" s="21" t="str">
        <f>VLOOKUP(S48,Matches!$B$4:$K$113,2,0)</f>
        <v>1D</v>
      </c>
      <c r="U54" s="11" t="str">
        <f>VLOOKUP(S48,Matches!$B$4:$K$113,3,0)</f>
        <v>3-BEFIJ</v>
      </c>
      <c r="V54" s="11"/>
      <c r="W54" s="21" t="str">
        <f>VLOOKUP(V48,Matches!$B$4:$K$113,2,0)</f>
        <v>1G</v>
      </c>
      <c r="X54" s="11" t="str">
        <f>VLOOKUP(V48,Matches!$B$4:$K$113,3,0)</f>
        <v>3-AEHIJ</v>
      </c>
      <c r="Y54" s="10"/>
      <c r="Z54" s="21" t="str">
        <f>VLOOKUP(Y48,Matches!$B$4:$K$113,2,0)</f>
        <v>1C</v>
      </c>
      <c r="AA54" s="11" t="str">
        <f>VLOOKUP(Y48,Matches!$B$4:$K$113,3,0)</f>
        <v>2F</v>
      </c>
      <c r="AB54" s="11"/>
      <c r="AC54" s="21" t="str">
        <f>VLOOKUP(AB48,Matches!$B$4:$K$113,2,0)</f>
        <v>2E</v>
      </c>
      <c r="AD54" s="11" t="str">
        <f>VLOOKUP(AB48,Matches!$B$4:$K$113,3,0)</f>
        <v>2I</v>
      </c>
      <c r="AE54" s="11"/>
      <c r="AF54" s="21" t="str">
        <f>VLOOKUP(AE48,Matches!$B$4:$K$113,2,0)</f>
        <v>1A</v>
      </c>
      <c r="AG54" s="11" t="str">
        <f>VLOOKUP(AE48,Matches!$B$4:$K$113,3,0)</f>
        <v>3-CEFHI</v>
      </c>
      <c r="AH54" s="11"/>
      <c r="AI54" s="21" t="str">
        <f>VLOOKUP(AH48,Matches!$B$4:$K$113,2,0)</f>
        <v>1L</v>
      </c>
      <c r="AJ54" s="11" t="str">
        <f>VLOOKUP(AH48,Matches!$B$4:$K$113,3,0)</f>
        <v>3-EHIJK</v>
      </c>
      <c r="AK54" s="11"/>
      <c r="AL54" s="21" t="str">
        <f>VLOOKUP(AK48,Matches!$B$4:$K$113,2,0)</f>
        <v>1J</v>
      </c>
      <c r="AM54" s="11" t="str">
        <f>VLOOKUP(AK48,Matches!$B$4:$K$113,3,0)</f>
        <v>2H</v>
      </c>
      <c r="AN54" s="11"/>
      <c r="AO54" s="21" t="str">
        <f>VLOOKUP(AN48,Matches!$B$4:$K$113,2,0)</f>
        <v>2D</v>
      </c>
      <c r="AP54" s="11" t="str">
        <f>VLOOKUP(AN48,Matches!$B$4:$K$113,3,0)</f>
        <v>2G</v>
      </c>
      <c r="AQ54" s="11"/>
      <c r="AR54" s="21" t="str">
        <f>VLOOKUP(AQ48,Matches!$B$4:$K$113,2,0)</f>
        <v>1B</v>
      </c>
      <c r="AS54" s="11" t="str">
        <f>VLOOKUP(AQ48,Matches!$B$4:$K$113,3,0)</f>
        <v>3-EFGIJ</v>
      </c>
      <c r="AT54" s="11"/>
      <c r="AU54" s="21" t="str">
        <f>VLOOKUP(AT48,Matches!$B$4:$K$113,2,0)</f>
        <v>1K</v>
      </c>
      <c r="AV54" s="11" t="str">
        <f>VLOOKUP(AT48,Matches!$B$4:$K$113,3,0)</f>
        <v>3-DEIJL</v>
      </c>
      <c r="AW54" s="10"/>
    </row>
    <row r="55" spans="1:49" x14ac:dyDescent="0.25">
      <c r="A55" s="10"/>
      <c r="B55" s="704" t="str">
        <f>IF(AND(B51&lt;&gt;"",C51&lt;&gt;"",B51=C51,B53&lt;&gt;"",C53&lt;&gt;"",B53=C53),Sprache!$E$192,"")</f>
        <v/>
      </c>
      <c r="C55" s="704"/>
      <c r="D55" s="11"/>
      <c r="E55" s="704" t="str">
        <f>IF(AND(E51&lt;&gt;"",F51&lt;&gt;"",E51=F51,E53&lt;&gt;"",F53&lt;&gt;"",E53=F53),Sprache!$E$192,"")</f>
        <v/>
      </c>
      <c r="F55" s="704"/>
      <c r="G55" s="11"/>
      <c r="H55" s="704" t="str">
        <f>IF(AND(H51&lt;&gt;"",I51&lt;&gt;"",H51=I51,H53&lt;&gt;"",I53&lt;&gt;"",H53=I53),Sprache!$E$192,"")</f>
        <v/>
      </c>
      <c r="I55" s="704"/>
      <c r="J55" s="11"/>
      <c r="K55" s="704" t="str">
        <f>IF(AND(K51&lt;&gt;"",L51&lt;&gt;"",K51=L51,K53&lt;&gt;"",L53&lt;&gt;"",K53=L53),Sprache!$E$192,"")</f>
        <v/>
      </c>
      <c r="L55" s="704"/>
      <c r="M55" s="11"/>
      <c r="N55" s="704" t="str">
        <f>IF(AND(N51&lt;&gt;"",O51&lt;&gt;"",N51=O51,N53&lt;&gt;"",O53&lt;&gt;"",N53=O53),Sprache!$E$192,"")</f>
        <v/>
      </c>
      <c r="O55" s="704"/>
      <c r="P55" s="11"/>
      <c r="Q55" s="704" t="str">
        <f>IF(AND(Q51&lt;&gt;"",R51&lt;&gt;"",Q51=R51,Q53&lt;&gt;"",R53&lt;&gt;"",Q53=R53),Sprache!$E$192,"")</f>
        <v/>
      </c>
      <c r="R55" s="704"/>
      <c r="S55" s="11"/>
      <c r="T55" s="704" t="str">
        <f>IF(AND(T51&lt;&gt;"",U51&lt;&gt;"",T51=U51,T53&lt;&gt;"",U53&lt;&gt;"",T53=U53),Sprache!$E$192,"")</f>
        <v/>
      </c>
      <c r="U55" s="704"/>
      <c r="V55" s="11"/>
      <c r="W55" s="704" t="str">
        <f>IF(AND(W51&lt;&gt;"",X51&lt;&gt;"",W51=X51,W53&lt;&gt;"",X53&lt;&gt;"",W53=X53),Sprache!$E$192,"")</f>
        <v/>
      </c>
      <c r="X55" s="704"/>
      <c r="Y55" s="10"/>
      <c r="Z55" s="704" t="str">
        <f>IF(AND(Z51&lt;&gt;"",AA51&lt;&gt;"",Z51=AA51,Z53&lt;&gt;"",AA53&lt;&gt;"",Z53=AA53),Sprache!$E$192,"")</f>
        <v/>
      </c>
      <c r="AA55" s="704"/>
      <c r="AB55" s="11"/>
      <c r="AC55" s="704" t="str">
        <f>IF(AND(AC51&lt;&gt;"",AD51&lt;&gt;"",AC51=AD51,AC53&lt;&gt;"",AD53&lt;&gt;"",AC53=AD53),Sprache!$E$192,"")</f>
        <v/>
      </c>
      <c r="AD55" s="704"/>
      <c r="AE55" s="11"/>
      <c r="AF55" s="704" t="str">
        <f>IF(AND(AF51&lt;&gt;"",AG51&lt;&gt;"",AF51=AG51,AF53&lt;&gt;"",AG53&lt;&gt;"",AF53=AG53),Sprache!$E$192,"")</f>
        <v/>
      </c>
      <c r="AG55" s="704"/>
      <c r="AH55" s="11"/>
      <c r="AI55" s="704" t="str">
        <f>IF(AND(AI51&lt;&gt;"",AJ51&lt;&gt;"",AI51=AJ51,AI53&lt;&gt;"",AJ53&lt;&gt;"",AI53=AJ53),Sprache!$E$192,"")</f>
        <v/>
      </c>
      <c r="AJ55" s="704"/>
      <c r="AK55" s="11"/>
      <c r="AL55" s="704" t="str">
        <f>IF(AND(AL51&lt;&gt;"",AM51&lt;&gt;"",AL51=AM51,AL53&lt;&gt;"",AM53&lt;&gt;"",AL53=AM53),Sprache!$E$192,"")</f>
        <v/>
      </c>
      <c r="AM55" s="704"/>
      <c r="AN55" s="11"/>
      <c r="AO55" s="704" t="str">
        <f>IF(AND(AO51&lt;&gt;"",AP51&lt;&gt;"",AO51=AP51,AO53&lt;&gt;"",AP53&lt;&gt;"",AO53=AP53),Sprache!$E$192,"")</f>
        <v/>
      </c>
      <c r="AP55" s="704"/>
      <c r="AQ55" s="11"/>
      <c r="AR55" s="704" t="str">
        <f>IF(AND(AR51&lt;&gt;"",AS51&lt;&gt;"",AR51=AS51,AR53&lt;&gt;"",AS53&lt;&gt;"",AR53=AS53),Sprache!$E$192,"")</f>
        <v/>
      </c>
      <c r="AS55" s="704"/>
      <c r="AT55" s="11"/>
      <c r="AU55" s="704" t="str">
        <f>IF(AND(AU51&lt;&gt;"",AV51&lt;&gt;"",AU51=AV51,AU53&lt;&gt;"",AV53&lt;&gt;"",AU53=AV53),Sprache!$E$192,"")</f>
        <v/>
      </c>
      <c r="AV55" s="704"/>
      <c r="AW55" s="10"/>
    </row>
    <row r="56" spans="1:49" x14ac:dyDescent="0.25">
      <c r="A56" s="4"/>
      <c r="B56" s="4"/>
      <c r="C56" s="4"/>
      <c r="D56" s="4"/>
      <c r="E56" s="4"/>
      <c r="F56" s="4"/>
      <c r="G56" s="4"/>
      <c r="H56" s="4"/>
      <c r="I56" s="4"/>
      <c r="J56" s="4"/>
      <c r="K56" s="4"/>
      <c r="L56" s="4"/>
      <c r="M56" s="4"/>
      <c r="N56" s="4"/>
      <c r="O56" s="4"/>
      <c r="P56" s="4"/>
      <c r="Q56" s="4"/>
      <c r="R56" s="4"/>
      <c r="S56" s="4"/>
      <c r="T56" s="4"/>
      <c r="U56" s="4"/>
      <c r="V56" s="4"/>
      <c r="W56" s="4"/>
      <c r="X56" s="4"/>
      <c r="Y56" s="4"/>
    </row>
    <row r="57" spans="1:49" ht="16.5" thickBot="1" x14ac:dyDescent="0.3">
      <c r="A57" s="4"/>
      <c r="B57" s="735" t="str">
        <f>VLOOKUP(VLOOKUP(A58,Matches!$B$94:$K$101,10,0),Sprache!$D$158:$E$165,2,0)</f>
        <v>Achtelfinale 2</v>
      </c>
      <c r="C57" s="736"/>
      <c r="D57" s="4"/>
      <c r="E57" s="735" t="str">
        <f>VLOOKUP(VLOOKUP(D58,Matches!$B$94:$K$101,10,0),Sprache!$D$158:$E$165,2,0)</f>
        <v>Achtelfinale 1</v>
      </c>
      <c r="F57" s="736"/>
      <c r="G57" s="4"/>
      <c r="H57" s="735" t="str">
        <f>VLOOKUP(VLOOKUP(G58,Matches!$B$94:$K$101,10,0),Sprache!$D$158:$E$165,2,0)</f>
        <v>Achtelfinale 5</v>
      </c>
      <c r="I57" s="736"/>
      <c r="J57" s="4"/>
      <c r="K57" s="735" t="str">
        <f>VLOOKUP(VLOOKUP(J58,Matches!$B$94:$K$101,10,0),Sprache!$D$158:$E$165,2,0)</f>
        <v>Achtelfinale 6</v>
      </c>
      <c r="L57" s="736"/>
      <c r="M57" s="4"/>
      <c r="N57" s="735" t="str">
        <f>VLOOKUP(VLOOKUP(M58,Matches!$B$94:$K$101,10,0),Sprache!$D$158:$E$165,2,0)</f>
        <v>Achtelfinale 3</v>
      </c>
      <c r="O57" s="736"/>
      <c r="P57" s="4"/>
      <c r="Q57" s="735" t="str">
        <f>VLOOKUP(VLOOKUP(P58,Matches!$B$94:$K$101,10,0),Sprache!$D$158:$E$165,2,0)</f>
        <v>Achtelfinale 4</v>
      </c>
      <c r="R57" s="736"/>
      <c r="S57" s="4"/>
      <c r="T57" s="735" t="str">
        <f>VLOOKUP(VLOOKUP(S58,Matches!$B$94:$K$101,10,0),Sprache!$D$158:$E$165,2,0)</f>
        <v>Achtelfinale 7</v>
      </c>
      <c r="U57" s="736"/>
      <c r="V57" s="4"/>
      <c r="W57" s="735" t="str">
        <f>VLOOKUP(VLOOKUP(V58,Matches!$B$94:$K$101,10,0),Sprache!$D$158:$E$165,2,0)</f>
        <v>Achtelfinale 8</v>
      </c>
      <c r="X57" s="736"/>
      <c r="Y57" s="4"/>
    </row>
    <row r="58" spans="1:49" x14ac:dyDescent="0.25">
      <c r="A58" s="86">
        <f>RIGHT($C$74,2)*1</f>
        <v>89</v>
      </c>
      <c r="B58" s="699" t="str">
        <f>VLOOKUP(A58,Matches!$B$4:$K$113,7,0)</f>
        <v>Philadelphia</v>
      </c>
      <c r="C58" s="700"/>
      <c r="D58" s="86">
        <f>RIGHT($E$74,2)*1</f>
        <v>90</v>
      </c>
      <c r="E58" s="699" t="str">
        <f>VLOOKUP(D58,Matches!$B$4:$K$113,7,0)</f>
        <v>Houston</v>
      </c>
      <c r="F58" s="700"/>
      <c r="G58" s="86">
        <f>RIGHT($I$74,2)*1</f>
        <v>93</v>
      </c>
      <c r="H58" s="699" t="str">
        <f>VLOOKUP(G58,Matches!$B$4:$K$113,7,0)</f>
        <v>Dallas</v>
      </c>
      <c r="I58" s="700"/>
      <c r="J58" s="86">
        <f>RIGHT($K$74,2)*1</f>
        <v>94</v>
      </c>
      <c r="K58" s="699" t="str">
        <f>VLOOKUP(J58,Matches!$B$4:$K$113,7,0)</f>
        <v>Seattle</v>
      </c>
      <c r="L58" s="700"/>
      <c r="M58" s="86">
        <f>RIGHT($O$74,2)*1</f>
        <v>91</v>
      </c>
      <c r="N58" s="699" t="str">
        <f>VLOOKUP(M58,Matches!$B$4:$K$113,7,0)</f>
        <v>New York/New Jersey</v>
      </c>
      <c r="O58" s="700"/>
      <c r="P58" s="86">
        <f>RIGHT($Q$74,2)*1</f>
        <v>92</v>
      </c>
      <c r="Q58" s="699" t="str">
        <f>VLOOKUP(P58,Matches!$B$4:$K$113,7,0)</f>
        <v>Mexico City</v>
      </c>
      <c r="R58" s="700"/>
      <c r="S58" s="86">
        <f>RIGHT($U$74,2)*1</f>
        <v>95</v>
      </c>
      <c r="T58" s="699" t="str">
        <f>VLOOKUP(S58,Matches!$B$4:$K$113,7,0)</f>
        <v>Atlanta</v>
      </c>
      <c r="U58" s="700"/>
      <c r="V58" s="86">
        <f>RIGHT($W$74,2)*1</f>
        <v>96</v>
      </c>
      <c r="W58" s="699" t="str">
        <f>VLOOKUP(V58,Matches!$B$4:$K$113,7,0)</f>
        <v>Vancouver</v>
      </c>
      <c r="X58" s="700"/>
      <c r="Y58" s="4"/>
    </row>
    <row r="59" spans="1:49" x14ac:dyDescent="0.25">
      <c r="A59" s="4"/>
      <c r="B59" s="697">
        <f>VLOOKUP(A58,Matches!$B$4:$K$113,5,0)</f>
        <v>46207.958333333336</v>
      </c>
      <c r="C59" s="698"/>
      <c r="D59" s="4"/>
      <c r="E59" s="697">
        <f>VLOOKUP(D58,Matches!$B$4:$K$113,5,0)</f>
        <v>46207.791666666664</v>
      </c>
      <c r="F59" s="698"/>
      <c r="G59" s="4"/>
      <c r="H59" s="697">
        <f>VLOOKUP(G58,Matches!$B$4:$K$113,5,0)</f>
        <v>46209.875</v>
      </c>
      <c r="I59" s="698"/>
      <c r="J59" s="4"/>
      <c r="K59" s="697">
        <f>VLOOKUP(J58,Matches!$B$4:$K$113,5,0)</f>
        <v>46210.083333333336</v>
      </c>
      <c r="L59" s="698"/>
      <c r="M59" s="4"/>
      <c r="N59" s="697">
        <f>VLOOKUP(M58,Matches!$B$4:$K$113,5,0)</f>
        <v>46208.916666666664</v>
      </c>
      <c r="O59" s="698"/>
      <c r="P59" s="4"/>
      <c r="Q59" s="697">
        <f>VLOOKUP(P58,Matches!$B$4:$K$113,5,0)</f>
        <v>46209.083333333336</v>
      </c>
      <c r="R59" s="698"/>
      <c r="S59" s="4"/>
      <c r="T59" s="697">
        <f>VLOOKUP(S58,Matches!$B$4:$K$113,5,0)</f>
        <v>46210.75</v>
      </c>
      <c r="U59" s="698"/>
      <c r="V59" s="7"/>
      <c r="W59" s="697">
        <f>VLOOKUP(V58,Matches!$B$4:$K$113,5,0)</f>
        <v>46210.916666666664</v>
      </c>
      <c r="X59" s="698"/>
      <c r="Y59" s="4"/>
    </row>
    <row r="60" spans="1:49" x14ac:dyDescent="0.25">
      <c r="A60" s="4"/>
      <c r="B60" s="41" t="str">
        <f>IF(AND(B51&lt;&gt;"",C51&lt;&gt;""),IF(B51&gt;C51,B50,IF(B51&lt;C51,C50,IF(AND(B53&lt;&gt;"",C53&lt;&gt;""),IF(B53&gt;C53,B50,IF(B53&lt;C53,C50,"")),""))),"")</f>
        <v/>
      </c>
      <c r="C60" s="42" t="str">
        <f>IF(AND(E51&lt;&gt;"",F51&lt;&gt;""),IF(E51&gt;F51,E50,IF(E51&lt;F51,F50,IF(AND(E53&lt;&gt;"",F53&lt;&gt;""),IF(E53&gt;F53,E50,IF(E53&lt;F53,F50,"")),""))),"")</f>
        <v/>
      </c>
      <c r="D60" s="4"/>
      <c r="E60" s="41" t="str">
        <f>IF(AND(H51&lt;&gt;"",I51&lt;&gt;""),IF(H51&gt;I51,H50,IF(H51&lt;I51,I50,IF(AND(H53&lt;&gt;"",I53&lt;&gt;""),IF(H53&gt;I53,H50,IF(H53&lt;I53,I50,"")),""))),"")</f>
        <v/>
      </c>
      <c r="F60" s="42" t="str">
        <f>IF(AND(K51&lt;&gt;"",L51&lt;&gt;""),IF(K51&gt;L51,K50,IF(K51&lt;L51,L50,IF(AND(K53&lt;&gt;"",L53&lt;&gt;""),IF(K53&gt;L53,K50,IF(K53&lt;L53,L50,"")),""))),"")</f>
        <v/>
      </c>
      <c r="G60" s="4"/>
      <c r="H60" s="41" t="str">
        <f>IF(AND(N51&lt;&gt;"",O51&lt;&gt;""),IF(N51&gt;O51,N50,IF(N51&lt;O51,O50,IF(AND(N53&lt;&gt;"",O53&lt;&gt;""),IF(N53&gt;O53,N50,IF(N53&lt;O53,O50,"")),""))),"")</f>
        <v/>
      </c>
      <c r="I60" s="42" t="str">
        <f>IF(AND(Q51&lt;&gt;"",R51&lt;&gt;""),IF(Q51&gt;R51,Q50,IF(Q51&lt;R51,R50,IF(AND(Q53&lt;&gt;"",R53&lt;&gt;""),IF(Q53&gt;R53,Q50,IF(Q53&lt;R53,R50,"")),""))),"")</f>
        <v/>
      </c>
      <c r="J60" s="4"/>
      <c r="K60" s="41" t="str">
        <f>IF(AND(T51&lt;&gt;"",U51&lt;&gt;""),IF(T51&gt;U51,T50,IF(T51&lt;U51,U50,IF(AND(T53&lt;&gt;"",U53&lt;&gt;""),IF(T53&gt;U53,T50,IF(T53&lt;U53,U50,"")),""))),"")</f>
        <v/>
      </c>
      <c r="L60" s="42" t="str">
        <f>IF(AND(W51&lt;&gt;"",X51&lt;&gt;""),IF(W51&gt;X51,W50,IF(W51&lt;X51,X50,IF(AND(W53&lt;&gt;"",X53&lt;&gt;""),IF(W53&gt;X53,W50,IF(W53&lt;X53,X50,"")),""))),"")</f>
        <v/>
      </c>
      <c r="M60" s="4"/>
      <c r="N60" s="41" t="str">
        <f>IF(AND(Z51&lt;&gt;"",AA51&lt;&gt;""),IF(Z51&gt;AA51,Z50,IF(Z51&lt;AA51,AA50,IF(AND(Z53&lt;&gt;"",AA53&lt;&gt;""),IF(Z53&gt;AA53,Z50,IF(Z53&lt;AA53,AA50,"")),""))),"")</f>
        <v/>
      </c>
      <c r="O60" s="42" t="str">
        <f>IF(AND(AC51&lt;&gt;"",AD51&lt;&gt;""),IF(AC51&gt;AD51,AC50,IF(AC51&lt;AD51,AD50,IF(AND(AC53&lt;&gt;"",AD53&lt;&gt;""),IF(AC53&gt;AD53,AC50,IF(AC53&lt;AD53,AD50,"")),""))),"")</f>
        <v/>
      </c>
      <c r="P60" s="4"/>
      <c r="Q60" s="41" t="str">
        <f>IF(AND(AF51&lt;&gt;"",AG51&lt;&gt;""),IF(AF51&gt;AG51,AF50,IF(AF51&lt;AG51,AG50,IF(AND(AF53&lt;&gt;"",AG53&lt;&gt;""),IF(AF53&gt;AG53,AF50,IF(AF53&lt;AG53,AG50,"")),""))),"")</f>
        <v/>
      </c>
      <c r="R60" s="42" t="str">
        <f>IF(AND(AI51&lt;&gt;"",AJ51&lt;&gt;""),IF(AI51&gt;AJ51,AI50,IF(AI51&lt;AJ51,AJ50,IF(AND(AI53&lt;&gt;"",AJ53&lt;&gt;""),IF(AI53&gt;AJ53,AI50,IF(AI53&lt;AJ53,AJ50,"")),""))),"")</f>
        <v/>
      </c>
      <c r="S60" s="4"/>
      <c r="T60" s="41" t="str">
        <f>IF(AND(AL51&lt;&gt;"",AM51&lt;&gt;""),IF(AL51&gt;AM51,AL50,IF(AL51&lt;AM51,AM50,IF(AND(AL53&lt;&gt;"",AM53&lt;&gt;""),IF(AL53&gt;AM53,AL50,IF(AL53&lt;AM53,AM50,"")),""))),"")</f>
        <v/>
      </c>
      <c r="U60" s="42" t="str">
        <f>IF(AND(AO51&lt;&gt;"",AP51&lt;&gt;""),IF(AO51&gt;AP51,AO50,IF(AO51&lt;AP51,AP50,IF(AND(AO53&lt;&gt;"",AP53&lt;&gt;""),IF(AO53&gt;AP53,AO50,IF(AO53&lt;AP53,AP50,"")),""))),"")</f>
        <v/>
      </c>
      <c r="V60" s="4"/>
      <c r="W60" s="41" t="str">
        <f>IF(AND(AR51&lt;&gt;"",AS51&lt;&gt;""),IF(AR51&gt;AS51,AR50,IF(AR51&lt;AS51,AS50,IF(AND(AR53&lt;&gt;"",AS53&lt;&gt;""),IF(AR53&gt;AS53,AR50,IF(AR53&lt;AS53,AS50,"")),""))),"")</f>
        <v/>
      </c>
      <c r="X60" s="42" t="str">
        <f>IF(AND(AU51&lt;&gt;"",AV51&lt;&gt;""),IF(AU51&gt;AV51,AU50,IF(AU51&lt;AV51,AV50,IF(AND(AU53&lt;&gt;"",AV53&lt;&gt;""),IF(AU53&gt;AV53,AU50,IF(AU53&lt;AV53,AV50,"")),""))),"")</f>
        <v/>
      </c>
      <c r="Y60" s="4"/>
    </row>
    <row r="61" spans="1:49" ht="15.75" thickBot="1" x14ac:dyDescent="0.3">
      <c r="A61" s="4"/>
      <c r="B61" s="1"/>
      <c r="C61" s="2"/>
      <c r="D61" s="205"/>
      <c r="E61" s="1"/>
      <c r="F61" s="2"/>
      <c r="G61" s="205"/>
      <c r="H61" s="1"/>
      <c r="I61" s="2"/>
      <c r="J61" s="205"/>
      <c r="K61" s="1"/>
      <c r="L61" s="2"/>
      <c r="M61" s="205"/>
      <c r="N61" s="1"/>
      <c r="O61" s="2"/>
      <c r="P61" s="205"/>
      <c r="Q61" s="1"/>
      <c r="R61" s="2"/>
      <c r="S61" s="205"/>
      <c r="T61" s="1"/>
      <c r="U61" s="2"/>
      <c r="V61" s="205"/>
      <c r="W61" s="1"/>
      <c r="X61" s="2"/>
      <c r="Y61" s="206"/>
    </row>
    <row r="62" spans="1:49" ht="9.9499999999999993" customHeight="1" x14ac:dyDescent="0.25">
      <c r="A62" s="4"/>
      <c r="B62" s="733" t="str">
        <f>Sprache!$E$175</f>
        <v>Elfmeterschießen:</v>
      </c>
      <c r="C62" s="734"/>
      <c r="D62" s="4"/>
      <c r="E62" s="733" t="str">
        <f>Sprache!$E$175</f>
        <v>Elfmeterschießen:</v>
      </c>
      <c r="F62" s="734"/>
      <c r="G62" s="4"/>
      <c r="H62" s="733" t="str">
        <f>Sprache!$E$175</f>
        <v>Elfmeterschießen:</v>
      </c>
      <c r="I62" s="734"/>
      <c r="J62" s="4"/>
      <c r="K62" s="733" t="str">
        <f>Sprache!$E$175</f>
        <v>Elfmeterschießen:</v>
      </c>
      <c r="L62" s="734"/>
      <c r="M62" s="4"/>
      <c r="N62" s="733" t="str">
        <f>Sprache!$E$175</f>
        <v>Elfmeterschießen:</v>
      </c>
      <c r="O62" s="734"/>
      <c r="P62" s="4"/>
      <c r="Q62" s="733" t="str">
        <f>Sprache!$E$175</f>
        <v>Elfmeterschießen:</v>
      </c>
      <c r="R62" s="734"/>
      <c r="S62" s="4"/>
      <c r="T62" s="733" t="str">
        <f>Sprache!$E$175</f>
        <v>Elfmeterschießen:</v>
      </c>
      <c r="U62" s="734"/>
      <c r="V62" s="4"/>
      <c r="W62" s="733" t="str">
        <f>Sprache!$E$175</f>
        <v>Elfmeterschießen:</v>
      </c>
      <c r="X62" s="734"/>
      <c r="Y62" s="4"/>
    </row>
    <row r="63" spans="1:49" ht="15.75" thickBot="1" x14ac:dyDescent="0.3">
      <c r="A63" s="4"/>
      <c r="B63" s="199"/>
      <c r="C63" s="200"/>
      <c r="D63" s="4"/>
      <c r="E63" s="199"/>
      <c r="F63" s="200"/>
      <c r="G63" s="4"/>
      <c r="H63" s="199"/>
      <c r="I63" s="200"/>
      <c r="J63" s="4"/>
      <c r="K63" s="199"/>
      <c r="L63" s="200"/>
      <c r="M63" s="4"/>
      <c r="N63" s="199"/>
      <c r="O63" s="200"/>
      <c r="P63" s="4"/>
      <c r="Q63" s="199"/>
      <c r="R63" s="200"/>
      <c r="S63" s="4"/>
      <c r="T63" s="199"/>
      <c r="U63" s="200"/>
      <c r="V63" s="4"/>
      <c r="W63" s="199"/>
      <c r="X63" s="200"/>
      <c r="Y63" s="4"/>
    </row>
    <row r="64" spans="1:49" x14ac:dyDescent="0.25">
      <c r="A64" s="10"/>
      <c r="B64" s="21" t="str">
        <f>VLOOKUP(A58,Matches!$B$4:$K$113,2,0)</f>
        <v>W74</v>
      </c>
      <c r="C64" s="11" t="str">
        <f>VLOOKUP(A58,Matches!$B$4:$K$113,3,0)</f>
        <v>W77</v>
      </c>
      <c r="D64" s="11"/>
      <c r="E64" s="21" t="str">
        <f>VLOOKUP(D58,Matches!$B$4:$K$113,2,0)</f>
        <v>W73</v>
      </c>
      <c r="F64" s="11" t="str">
        <f>VLOOKUP(D58,Matches!$B$4:$K$113,3,0)</f>
        <v>W75</v>
      </c>
      <c r="G64" s="11"/>
      <c r="H64" s="21" t="str">
        <f>VLOOKUP(G58,Matches!$B$4:$K$113,2,0)</f>
        <v>W83</v>
      </c>
      <c r="I64" s="11" t="str">
        <f>VLOOKUP(G58,Matches!$B$4:$K$113,3,0)</f>
        <v>W84</v>
      </c>
      <c r="J64" s="11"/>
      <c r="K64" s="21" t="str">
        <f>VLOOKUP(J58,Matches!$B$4:$K$113,2,0)</f>
        <v>W81</v>
      </c>
      <c r="L64" s="11" t="str">
        <f>VLOOKUP(J58,Matches!$B$4:$K$113,3,0)</f>
        <v>W82</v>
      </c>
      <c r="M64" s="11"/>
      <c r="N64" s="21" t="str">
        <f>VLOOKUP(M58,Matches!$B$4:$K$113,2,0)</f>
        <v>W76</v>
      </c>
      <c r="O64" s="11" t="str">
        <f>VLOOKUP(M58,Matches!$B$4:$K$113,3,0)</f>
        <v>W78</v>
      </c>
      <c r="P64" s="11"/>
      <c r="Q64" s="21" t="str">
        <f>VLOOKUP(P58,Matches!$B$4:$K$113,2,0)</f>
        <v>W79</v>
      </c>
      <c r="R64" s="11" t="str">
        <f>VLOOKUP(P58,Matches!$B$4:$K$113,3,0)</f>
        <v>W80</v>
      </c>
      <c r="S64" s="11"/>
      <c r="T64" s="21" t="str">
        <f>VLOOKUP(S58,Matches!$B$4:$K$113,2,0)</f>
        <v>W86</v>
      </c>
      <c r="U64" s="11" t="str">
        <f>VLOOKUP(S58,Matches!$B$4:$K$113,3,0)</f>
        <v>W88</v>
      </c>
      <c r="V64" s="11"/>
      <c r="W64" s="21" t="str">
        <f>VLOOKUP(V58,Matches!$B$4:$K$113,2,0)</f>
        <v>W85</v>
      </c>
      <c r="X64" s="11" t="str">
        <f>VLOOKUP(V58,Matches!$B$4:$K$113,3,0)</f>
        <v>W87</v>
      </c>
      <c r="Y64" s="10"/>
    </row>
    <row r="65" spans="1:25" x14ac:dyDescent="0.25">
      <c r="A65" s="10"/>
      <c r="B65" s="704" t="str">
        <f>IF(AND(B61&lt;&gt;"",C61&lt;&gt;"",B61=C61,B63&lt;&gt;"",C63&lt;&gt;"",B63=C63),Sprache!$E$192,"")</f>
        <v/>
      </c>
      <c r="C65" s="704"/>
      <c r="D65" s="11"/>
      <c r="E65" s="704" t="str">
        <f>IF(AND(E61&lt;&gt;"",F61&lt;&gt;"",E61=F61,E63&lt;&gt;"",F63&lt;&gt;"",E63=F63),Sprache!$E$192,"")</f>
        <v/>
      </c>
      <c r="F65" s="704"/>
      <c r="G65" s="11"/>
      <c r="H65" s="704" t="str">
        <f>IF(AND(H61&lt;&gt;"",I61&lt;&gt;"",H61=I61,H63&lt;&gt;"",I63&lt;&gt;"",H63=I63),Sprache!$E$192,"")</f>
        <v/>
      </c>
      <c r="I65" s="704"/>
      <c r="J65" s="11"/>
      <c r="K65" s="704" t="str">
        <f>IF(AND(K61&lt;&gt;"",L61&lt;&gt;"",K61=L61,K63&lt;&gt;"",L63&lt;&gt;"",K63=L63),Sprache!$E$192,"")</f>
        <v/>
      </c>
      <c r="L65" s="704"/>
      <c r="M65" s="11"/>
      <c r="N65" s="704" t="str">
        <f>IF(AND(N61&lt;&gt;"",O61&lt;&gt;"",N61=O61,N63&lt;&gt;"",O63&lt;&gt;"",N63=O63),Sprache!$E$192,"")</f>
        <v/>
      </c>
      <c r="O65" s="704"/>
      <c r="P65" s="11"/>
      <c r="Q65" s="704" t="str">
        <f>IF(AND(Q61&lt;&gt;"",R61&lt;&gt;"",Q61=R61,Q63&lt;&gt;"",R63&lt;&gt;"",Q63=R63),Sprache!$E$192,"")</f>
        <v/>
      </c>
      <c r="R65" s="704"/>
      <c r="S65" s="11"/>
      <c r="T65" s="704" t="str">
        <f>IF(AND(T61&lt;&gt;"",U61&lt;&gt;"",T61=U61,T63&lt;&gt;"",U63&lt;&gt;"",T63=U63),Sprache!$E$192,"")</f>
        <v/>
      </c>
      <c r="U65" s="704"/>
      <c r="V65" s="11"/>
      <c r="W65" s="704" t="str">
        <f>IF(AND(W61&lt;&gt;"",X61&lt;&gt;"",W61=X61,W63&lt;&gt;"",X63&lt;&gt;"",W63=X63),Sprache!$E$192,"")</f>
        <v/>
      </c>
      <c r="X65" s="704"/>
      <c r="Y65" s="10"/>
    </row>
    <row r="66" spans="1:25" x14ac:dyDescent="0.25">
      <c r="A66" s="4"/>
      <c r="B66" s="13"/>
      <c r="C66" s="12"/>
      <c r="D66" s="4"/>
      <c r="E66" s="12"/>
      <c r="F66" s="13"/>
      <c r="G66" s="4"/>
      <c r="H66" s="13"/>
      <c r="I66" s="4"/>
      <c r="J66" s="4"/>
      <c r="K66" s="4"/>
      <c r="L66" s="13"/>
      <c r="M66" s="4"/>
      <c r="N66" s="13"/>
      <c r="O66" s="4"/>
      <c r="P66" s="4"/>
      <c r="Q66" s="4"/>
      <c r="R66" s="13"/>
      <c r="S66" s="4"/>
      <c r="T66" s="13"/>
      <c r="U66" s="4"/>
      <c r="V66" s="4"/>
      <c r="W66" s="4"/>
      <c r="X66" s="13"/>
      <c r="Y66" s="4"/>
    </row>
    <row r="67" spans="1:25" ht="15.75" x14ac:dyDescent="0.25">
      <c r="A67" s="4"/>
      <c r="B67" s="13"/>
      <c r="C67" s="732" t="str">
        <f>VLOOKUP(VLOOKUP(B68,Matches!$B$103:$K$106,10,0),Sprache!$D$166:$E$169,2,0)</f>
        <v>Viertelfinale 1</v>
      </c>
      <c r="D67" s="732"/>
      <c r="E67" s="732"/>
      <c r="F67" s="13"/>
      <c r="G67" s="4"/>
      <c r="H67" s="13"/>
      <c r="I67" s="732" t="str">
        <f>VLOOKUP(VLOOKUP(H68,Matches!$B$103:$K$106,10,0),Sprache!$D$166:$E$169,2,0)</f>
        <v>Viertelfinale 2</v>
      </c>
      <c r="J67" s="732"/>
      <c r="K67" s="732"/>
      <c r="L67" s="13"/>
      <c r="M67" s="4"/>
      <c r="N67" s="13"/>
      <c r="O67" s="732" t="str">
        <f>VLOOKUP(VLOOKUP(N68,Matches!$B$103:$K$106,10,0),Sprache!$D$166:$E$169,2,0)</f>
        <v>Viertelfinale 3</v>
      </c>
      <c r="P67" s="732"/>
      <c r="Q67" s="732"/>
      <c r="R67" s="13"/>
      <c r="S67" s="4"/>
      <c r="T67" s="13"/>
      <c r="U67" s="732" t="str">
        <f>VLOOKUP(VLOOKUP(T68,Matches!$B$103:$K$106,10,0),Sprache!$D$166:$E$169,2,0)</f>
        <v>Viertelfinale 4</v>
      </c>
      <c r="V67" s="732"/>
      <c r="W67" s="732"/>
      <c r="X67" s="13"/>
      <c r="Y67" s="4"/>
    </row>
    <row r="68" spans="1:25" x14ac:dyDescent="0.25">
      <c r="A68" s="4"/>
      <c r="B68" s="86">
        <f>RIGHT($F$84,LEN($F$84)-1)*1</f>
        <v>97</v>
      </c>
      <c r="C68" s="723" t="str">
        <f>VLOOKUP(B68,Matches!$B$4:$K$113,7,0)</f>
        <v>Boston</v>
      </c>
      <c r="D68" s="724"/>
      <c r="E68" s="725"/>
      <c r="F68" s="4"/>
      <c r="G68" s="4"/>
      <c r="H68" s="86">
        <f>RIGHT($H$84,LEN($H$84)-1)*1</f>
        <v>98</v>
      </c>
      <c r="I68" s="723" t="str">
        <f>VLOOKUP(H68,Matches!$B$4:$K$113,7,0)</f>
        <v>Los Angeles</v>
      </c>
      <c r="J68" s="724"/>
      <c r="K68" s="725"/>
      <c r="L68" s="4"/>
      <c r="M68" s="4"/>
      <c r="N68" s="86">
        <f>RIGHT($R$84,LEN($R$84)-1)*1</f>
        <v>99</v>
      </c>
      <c r="O68" s="723" t="str">
        <f>VLOOKUP(N68,Matches!$B$4:$K$113,7,0)</f>
        <v>Miami</v>
      </c>
      <c r="P68" s="724"/>
      <c r="Q68" s="725"/>
      <c r="R68" s="4"/>
      <c r="S68" s="4"/>
      <c r="T68" s="86">
        <f>RIGHT($T$84,LEN($T$84)-1)*1</f>
        <v>100</v>
      </c>
      <c r="U68" s="723" t="str">
        <f>VLOOKUP(T68,Matches!$B$4:$K$113,7,0)</f>
        <v>Kansas City</v>
      </c>
      <c r="V68" s="724"/>
      <c r="W68" s="725"/>
      <c r="X68" s="4"/>
      <c r="Y68" s="4"/>
    </row>
    <row r="69" spans="1:25" x14ac:dyDescent="0.25">
      <c r="A69" s="4"/>
      <c r="B69" s="4"/>
      <c r="C69" s="697">
        <f>VLOOKUP(B68,Matches!$B$4:$K$113,5,0)</f>
        <v>46212.916666666664</v>
      </c>
      <c r="D69" s="727"/>
      <c r="E69" s="698"/>
      <c r="F69" s="4"/>
      <c r="G69" s="4"/>
      <c r="H69" s="4"/>
      <c r="I69" s="697">
        <f>VLOOKUP(H68,Matches!$B$4:$K$113,5,0)</f>
        <v>46213.875</v>
      </c>
      <c r="J69" s="727"/>
      <c r="K69" s="698"/>
      <c r="L69" s="4"/>
      <c r="M69" s="4"/>
      <c r="N69" s="4"/>
      <c r="O69" s="697">
        <f>VLOOKUP(N68,Matches!$B$4:$K$113,5,0)</f>
        <v>46214.958333333336</v>
      </c>
      <c r="P69" s="727"/>
      <c r="Q69" s="698"/>
      <c r="R69" s="4"/>
      <c r="S69" s="4"/>
      <c r="T69" s="4"/>
      <c r="U69" s="697">
        <f>VLOOKUP(T68,Matches!$B$4:$K$113,5,0)</f>
        <v>46215.125</v>
      </c>
      <c r="V69" s="727"/>
      <c r="W69" s="698"/>
      <c r="X69" s="4"/>
      <c r="Y69" s="4"/>
    </row>
    <row r="70" spans="1:25" x14ac:dyDescent="0.25">
      <c r="A70" s="4"/>
      <c r="B70" s="4"/>
      <c r="C70" s="8" t="str">
        <f>IF(AND(B61&lt;&gt;"",C61&lt;&gt;""),IF(B61&gt;C61,B60,IF(B61&lt;C61,C60,IF(AND(B63&lt;&gt;"",C63&lt;&gt;""),IF(B63&gt;C63,B60,IF(B63&lt;C63,C60,"")),""))),"")</f>
        <v/>
      </c>
      <c r="D70" s="13"/>
      <c r="E70" s="9" t="str">
        <f>IF(AND(E61&lt;&gt;"",F61&lt;&gt;""),IF(E61&gt;F61,E60,IF(E61&lt;F61,F60,IF(AND(E63&lt;&gt;"",F63&lt;&gt;""),IF(E63&gt;F63,E60,IF(E63&lt;F63,F60,"")),""))),"")</f>
        <v/>
      </c>
      <c r="F70" s="4"/>
      <c r="G70" s="4"/>
      <c r="H70" s="4"/>
      <c r="I70" s="8" t="str">
        <f>IF(AND(H61&lt;&gt;"",I61&lt;&gt;""),IF(H61&gt;I61,H60,IF(H61&lt;I61,I60,IF(AND(H63&lt;&gt;"",I63&lt;&gt;""),IF(H63&gt;I63,H60,IF(H63&lt;I63,I60,"")),""))),"")</f>
        <v/>
      </c>
      <c r="J70" s="13"/>
      <c r="K70" s="9" t="str">
        <f>IF(AND(K61&lt;&gt;"",L61&lt;&gt;""),IF(K61&gt;L61,K60,IF(K61&lt;L61,L60,IF(AND(K63&lt;&gt;"",L63&lt;&gt;""),IF(K63&gt;L63,K60,IF(K63&lt;L63,L60,"")),""))),"")</f>
        <v/>
      </c>
      <c r="L70" s="4"/>
      <c r="M70" s="4"/>
      <c r="N70" s="4"/>
      <c r="O70" s="8" t="str">
        <f>IF(AND(N61&lt;&gt;"",O61&lt;&gt;""),IF(N61&gt;O61,N60,IF(N61&lt;O61,O60,IF(AND(N63&lt;&gt;"",O63&lt;&gt;""),IF(N63&gt;O63,N60,IF(N63&lt;O63,O60,"")),""))),"")</f>
        <v/>
      </c>
      <c r="P70" s="13"/>
      <c r="Q70" s="9" t="str">
        <f>IF(AND(Q61&lt;&gt;"",R61&lt;&gt;""),IF(Q61&gt;R61,Q60,IF(Q61&lt;R61,R60,IF(AND(Q63&lt;&gt;"",R63&lt;&gt;""),IF(Q63&gt;R63,Q60,IF(Q63&lt;R63,R60,"")),""))),"")</f>
        <v/>
      </c>
      <c r="R70" s="4"/>
      <c r="S70" s="4"/>
      <c r="T70" s="4"/>
      <c r="U70" s="8" t="str">
        <f>IF(AND(T61&lt;&gt;"",U61&lt;&gt;""),IF(T61&gt;U61,T60,IF(T61&lt;U61,U60,IF(AND(T63&lt;&gt;"",U63&lt;&gt;""),IF(T63&gt;U63,T60,IF(T63&lt;U63,U60,"")),""))),"")</f>
        <v/>
      </c>
      <c r="V70" s="13"/>
      <c r="W70" s="9" t="str">
        <f>IF(AND(W61&lt;&gt;"",X61&lt;&gt;""),IF(W61&gt;X61,W60,IF(W61&lt;X61,X60,IF(AND(W63&lt;&gt;"",X63&lt;&gt;""),IF(W63&gt;X63,W60,IF(W63&lt;X63,X60,"")),""))),"")</f>
        <v/>
      </c>
      <c r="X70" s="4"/>
      <c r="Y70" s="4"/>
    </row>
    <row r="71" spans="1:25" ht="15.75" thickBot="1" x14ac:dyDescent="0.3">
      <c r="A71" s="4"/>
      <c r="B71" s="4"/>
      <c r="C71" s="1"/>
      <c r="D71" s="14"/>
      <c r="E71" s="3"/>
      <c r="F71" s="206"/>
      <c r="G71" s="4"/>
      <c r="H71" s="4"/>
      <c r="I71" s="1"/>
      <c r="J71" s="14"/>
      <c r="K71" s="3"/>
      <c r="L71" s="206"/>
      <c r="M71" s="4"/>
      <c r="N71" s="4"/>
      <c r="O71" s="1"/>
      <c r="P71" s="14"/>
      <c r="Q71" s="3"/>
      <c r="R71" s="206"/>
      <c r="S71" s="4"/>
      <c r="T71" s="4"/>
      <c r="U71" s="1"/>
      <c r="V71" s="14"/>
      <c r="W71" s="3"/>
      <c r="X71" s="206"/>
      <c r="Y71" s="4"/>
    </row>
    <row r="72" spans="1:25" ht="9.9499999999999993" customHeight="1" x14ac:dyDescent="0.25">
      <c r="A72" s="4"/>
      <c r="B72" s="4"/>
      <c r="C72" s="705" t="str">
        <f>Sprache!$E$175</f>
        <v>Elfmeterschießen:</v>
      </c>
      <c r="D72" s="730"/>
      <c r="E72" s="706"/>
      <c r="F72" s="4"/>
      <c r="G72" s="4"/>
      <c r="H72" s="4"/>
      <c r="I72" s="705" t="str">
        <f>Sprache!$E$175</f>
        <v>Elfmeterschießen:</v>
      </c>
      <c r="J72" s="730"/>
      <c r="K72" s="706"/>
      <c r="L72" s="4"/>
      <c r="M72" s="4"/>
      <c r="N72" s="4"/>
      <c r="O72" s="705" t="str">
        <f>Sprache!$E$175</f>
        <v>Elfmeterschießen:</v>
      </c>
      <c r="P72" s="730"/>
      <c r="Q72" s="706"/>
      <c r="R72" s="4"/>
      <c r="S72" s="4"/>
      <c r="T72" s="4"/>
      <c r="U72" s="705" t="str">
        <f>Sprache!$E$175</f>
        <v>Elfmeterschießen:</v>
      </c>
      <c r="V72" s="730"/>
      <c r="W72" s="706"/>
      <c r="X72" s="4"/>
      <c r="Y72" s="4"/>
    </row>
    <row r="73" spans="1:25" ht="15.75" thickBot="1" x14ac:dyDescent="0.3">
      <c r="A73" s="4"/>
      <c r="B73" s="4"/>
      <c r="C73" s="202"/>
      <c r="D73" s="14"/>
      <c r="E73" s="203"/>
      <c r="F73" s="4"/>
      <c r="G73" s="4"/>
      <c r="H73" s="4"/>
      <c r="I73" s="202"/>
      <c r="J73" s="14"/>
      <c r="K73" s="203"/>
      <c r="L73" s="4"/>
      <c r="M73" s="4"/>
      <c r="N73" s="4"/>
      <c r="O73" s="202"/>
      <c r="P73" s="14"/>
      <c r="Q73" s="203"/>
      <c r="R73" s="4"/>
      <c r="S73" s="4"/>
      <c r="T73" s="4"/>
      <c r="U73" s="202"/>
      <c r="V73" s="14"/>
      <c r="W73" s="203"/>
      <c r="X73" s="4"/>
      <c r="Y73" s="4"/>
    </row>
    <row r="74" spans="1:25" x14ac:dyDescent="0.25">
      <c r="A74" s="10"/>
      <c r="B74" s="10"/>
      <c r="C74" s="11" t="str">
        <f>VLOOKUP(B68,Matches!$B$103:$K$113,2,0)</f>
        <v>W89</v>
      </c>
      <c r="D74" s="15"/>
      <c r="E74" s="11" t="str">
        <f>VLOOKUP(B68,Matches!$B$103:$K$113,3,0)</f>
        <v>W90</v>
      </c>
      <c r="F74" s="16"/>
      <c r="G74" s="16"/>
      <c r="H74" s="16"/>
      <c r="I74" s="11" t="str">
        <f>VLOOKUP(H68,Matches!$B$103:$K$113,2,0)</f>
        <v>W93</v>
      </c>
      <c r="J74" s="15"/>
      <c r="K74" s="11" t="str">
        <f>VLOOKUP(H68,Matches!$B$103:$K$113,3,0)</f>
        <v>W94</v>
      </c>
      <c r="L74" s="16"/>
      <c r="M74" s="16"/>
      <c r="N74" s="16"/>
      <c r="O74" s="11" t="str">
        <f>VLOOKUP(N68,Matches!$B$103:$K$113,2,0)</f>
        <v>W91</v>
      </c>
      <c r="P74" s="4"/>
      <c r="Q74" s="11" t="str">
        <f>VLOOKUP(N68,Matches!$B$103:$K$113,3,0)</f>
        <v>W92</v>
      </c>
      <c r="R74" s="16"/>
      <c r="S74" s="16"/>
      <c r="T74" s="16"/>
      <c r="U74" s="11" t="str">
        <f>VLOOKUP(T68,Matches!$B$103:$K$113,2,0)</f>
        <v>W95</v>
      </c>
      <c r="V74" s="15"/>
      <c r="W74" s="11" t="str">
        <f>VLOOKUP(T68,Matches!$B$103:$K$113,3,0)</f>
        <v>W96</v>
      </c>
      <c r="X74" s="10"/>
      <c r="Y74" s="10"/>
    </row>
    <row r="75" spans="1:25" x14ac:dyDescent="0.25">
      <c r="A75" s="4"/>
      <c r="B75" s="4"/>
      <c r="C75" s="714" t="str">
        <f>IF(AND(C71&lt;&gt;"",E71&lt;&gt;"",C71=E71,C73&lt;&gt;"",E73&lt;&gt;"",C73=E73),Sprache!$E$192,"")</f>
        <v/>
      </c>
      <c r="D75" s="714"/>
      <c r="E75" s="714"/>
      <c r="F75" s="4"/>
      <c r="G75" s="4"/>
      <c r="H75" s="4"/>
      <c r="I75" s="714" t="str">
        <f>IF(AND(I71&lt;&gt;"",K71&lt;&gt;"",I71=K71,I73&lt;&gt;"",K73&lt;&gt;"",I73=K73),Sprache!$E$192,"")</f>
        <v/>
      </c>
      <c r="J75" s="714"/>
      <c r="K75" s="714"/>
      <c r="L75" s="4"/>
      <c r="M75" s="4"/>
      <c r="N75" s="4"/>
      <c r="O75" s="714" t="str">
        <f>IF(AND(O71&lt;&gt;"",Q71&lt;&gt;"",O71=Q71,O73&lt;&gt;"",Q73&lt;&gt;"",O73=Q73),Sprache!$E$192,"")</f>
        <v/>
      </c>
      <c r="P75" s="714"/>
      <c r="Q75" s="714"/>
      <c r="R75" s="4"/>
      <c r="S75" s="4"/>
      <c r="T75" s="4"/>
      <c r="U75" s="714" t="str">
        <f>IF(AND(U71&lt;&gt;"",W71&lt;&gt;"",U71=W71,U73&lt;&gt;"",W73&lt;&gt;"",U73=W73),Sprache!$E$192,"")</f>
        <v/>
      </c>
      <c r="V75" s="714"/>
      <c r="W75" s="714"/>
      <c r="X75" s="4"/>
      <c r="Y75" s="4"/>
    </row>
    <row r="76" spans="1:25" x14ac:dyDescent="0.25">
      <c r="A76" s="4"/>
      <c r="B76" s="4"/>
      <c r="C76" s="4"/>
      <c r="D76" s="4"/>
      <c r="E76" s="4"/>
      <c r="F76" s="4"/>
      <c r="G76" s="4"/>
      <c r="H76" s="4"/>
      <c r="I76" s="4"/>
      <c r="J76" s="4"/>
      <c r="K76" s="4"/>
      <c r="L76" s="4"/>
      <c r="M76" s="4"/>
      <c r="N76" s="4"/>
      <c r="O76" s="4"/>
      <c r="P76" s="4"/>
      <c r="Q76" s="4"/>
      <c r="R76" s="4"/>
      <c r="S76" s="4"/>
      <c r="T76" s="4"/>
      <c r="U76" s="4"/>
      <c r="V76" s="4"/>
      <c r="W76" s="4"/>
      <c r="X76" s="4"/>
      <c r="Y76" s="4"/>
    </row>
    <row r="77" spans="1:25" ht="15.75" x14ac:dyDescent="0.25">
      <c r="A77" s="4"/>
      <c r="B77" s="4"/>
      <c r="C77" s="4"/>
      <c r="D77" s="4"/>
      <c r="E77" s="4"/>
      <c r="F77" s="731" t="str">
        <f>VLOOKUP(E78,Matches!$B$103:$K$113,10,0)</f>
        <v>Halbfinale 1</v>
      </c>
      <c r="G77" s="731"/>
      <c r="H77" s="731"/>
      <c r="I77" s="4"/>
      <c r="J77" s="4"/>
      <c r="K77" s="4"/>
      <c r="L77" s="4"/>
      <c r="M77" s="4"/>
      <c r="N77" s="4"/>
      <c r="O77" s="4"/>
      <c r="P77" s="4"/>
      <c r="Q77" s="4"/>
      <c r="R77" s="731" t="str">
        <f>VLOOKUP(Q78,Matches!$B$103:$K$113,10,0)</f>
        <v>Halbfinale 2</v>
      </c>
      <c r="S77" s="731"/>
      <c r="T77" s="731"/>
      <c r="U77" s="4"/>
      <c r="V77" s="4"/>
      <c r="W77" s="4"/>
      <c r="X77" s="4"/>
      <c r="Y77" s="4"/>
    </row>
    <row r="78" spans="1:25" x14ac:dyDescent="0.25">
      <c r="A78" s="4"/>
      <c r="B78" s="4"/>
      <c r="C78" s="4"/>
      <c r="D78" s="4"/>
      <c r="E78" s="86">
        <v>101</v>
      </c>
      <c r="F78" s="723" t="str">
        <f>VLOOKUP(E78,Matches!$B$4:$K$113,7,0)</f>
        <v>Dallas</v>
      </c>
      <c r="G78" s="724"/>
      <c r="H78" s="725"/>
      <c r="I78" s="4"/>
      <c r="J78" s="4"/>
      <c r="K78" s="4"/>
      <c r="L78" s="4"/>
      <c r="M78" s="4"/>
      <c r="N78" s="4"/>
      <c r="O78" s="4"/>
      <c r="P78" s="4"/>
      <c r="Q78" s="86">
        <v>102</v>
      </c>
      <c r="R78" s="723" t="str">
        <f>VLOOKUP(Q78,Matches!$B$4:$K$113,7,0)</f>
        <v>Atlanta</v>
      </c>
      <c r="S78" s="724"/>
      <c r="T78" s="725"/>
      <c r="U78" s="4"/>
      <c r="V78" s="4"/>
      <c r="W78" s="4"/>
      <c r="X78" s="4"/>
      <c r="Y78" s="4"/>
    </row>
    <row r="79" spans="1:25" ht="15.75" x14ac:dyDescent="0.25">
      <c r="A79" s="4"/>
      <c r="B79" s="4"/>
      <c r="C79" s="4"/>
      <c r="D79" s="4"/>
      <c r="E79" s="4"/>
      <c r="F79" s="697">
        <f>VLOOKUP(E78,Matches!$B$4:$K$113,5,0)</f>
        <v>46217.875</v>
      </c>
      <c r="G79" s="727"/>
      <c r="H79" s="698"/>
      <c r="I79" s="4"/>
      <c r="J79" s="4"/>
      <c r="K79" s="4"/>
      <c r="L79" s="29"/>
      <c r="M79" s="29"/>
      <c r="N79" s="4"/>
      <c r="O79" s="4"/>
      <c r="P79" s="4"/>
      <c r="Q79" s="4"/>
      <c r="R79" s="697">
        <f>VLOOKUP(Q78,Matches!$B$4:$K$113,5,0)</f>
        <v>46218.875</v>
      </c>
      <c r="S79" s="727"/>
      <c r="T79" s="698"/>
      <c r="U79" s="4"/>
      <c r="V79" s="4"/>
      <c r="W79" s="4"/>
      <c r="X79" s="4"/>
      <c r="Y79" s="4"/>
    </row>
    <row r="80" spans="1:25" x14ac:dyDescent="0.25">
      <c r="A80" s="4"/>
      <c r="B80" s="4"/>
      <c r="C80" s="4"/>
      <c r="D80" s="4"/>
      <c r="E80" s="4"/>
      <c r="F80" s="8" t="str">
        <f>IF(AND(C71&lt;&gt;"",E71&lt;&gt;""),IF(C71&gt;E71,C70,IF(C71&lt;E71,E70,IF(AND(C73&lt;&gt;"",E73&lt;&gt;""),IF(C73&gt;E73,C70,IF(C73&lt;E73,E70,"")),""))),"")</f>
        <v/>
      </c>
      <c r="G80" s="13"/>
      <c r="H80" s="9" t="str">
        <f>IF(AND(I71&lt;&gt;"",K71&lt;&gt;""),IF(I71&gt;K71,I70,IF(I71&lt;K71,K70,IF(AND(I73&lt;&gt;"",K73&lt;&gt;""),IF(I73&gt;K73,I70,IF(I73&lt;K73,K70,"")),""))),"")</f>
        <v/>
      </c>
      <c r="I80" s="4"/>
      <c r="J80" s="4"/>
      <c r="K80" s="4"/>
      <c r="L80" s="30"/>
      <c r="M80" s="30"/>
      <c r="N80" s="4"/>
      <c r="O80" s="4"/>
      <c r="P80" s="4"/>
      <c r="Q80" s="4"/>
      <c r="R80" s="8" t="str">
        <f>IF(AND(O71&lt;&gt;"",Q71&lt;&gt;""),IF(O71&gt;Q71,O70,IF(O71&lt;Q71,Q70,IF(AND(O73&lt;&gt;"",Q73&lt;&gt;""),IF(O73&gt;Q73,O70,IF(O73&lt;Q73,Q70,"")),""))),"")</f>
        <v/>
      </c>
      <c r="S80" s="13"/>
      <c r="T80" s="9" t="str">
        <f>IF(AND(U71&lt;&gt;"",W71&lt;&gt;""),IF(U71&gt;W71,U70,IF(U71&lt;W71,W70,IF(AND(U73&lt;&gt;"",W73&lt;&gt;""),IF(U73&gt;W73,U70,IF(U73&lt;W73,W70,"")),""))),"")</f>
        <v/>
      </c>
      <c r="U80" s="4"/>
      <c r="V80" s="4"/>
      <c r="W80" s="4"/>
      <c r="X80" s="4"/>
      <c r="Y80" s="4"/>
    </row>
    <row r="81" spans="1:25" ht="15.75" thickBot="1" x14ac:dyDescent="0.3">
      <c r="A81" s="4"/>
      <c r="B81" s="4"/>
      <c r="C81" s="4"/>
      <c r="D81" s="4"/>
      <c r="E81" s="4"/>
      <c r="F81" s="1"/>
      <c r="G81" s="14"/>
      <c r="H81" s="3"/>
      <c r="I81" s="206"/>
      <c r="J81" s="4"/>
      <c r="K81" s="4"/>
      <c r="L81" s="19"/>
      <c r="M81" s="18"/>
      <c r="N81" s="4"/>
      <c r="O81" s="4"/>
      <c r="P81" s="4"/>
      <c r="Q81" s="4"/>
      <c r="R81" s="1"/>
      <c r="S81" s="14"/>
      <c r="T81" s="3"/>
      <c r="U81" s="206"/>
      <c r="V81" s="4"/>
      <c r="W81" s="4"/>
      <c r="X81" s="4"/>
      <c r="Y81" s="4"/>
    </row>
    <row r="82" spans="1:25" ht="9.9499999999999993" customHeight="1" x14ac:dyDescent="0.25">
      <c r="A82" s="4"/>
      <c r="B82" s="4"/>
      <c r="C82" s="4"/>
      <c r="D82" s="4"/>
      <c r="E82" s="4"/>
      <c r="F82" s="705" t="str">
        <f>Sprache!$E$175</f>
        <v>Elfmeterschießen:</v>
      </c>
      <c r="G82" s="730"/>
      <c r="H82" s="706"/>
      <c r="I82" s="4"/>
      <c r="J82" s="4"/>
      <c r="K82" s="4"/>
      <c r="L82" s="19"/>
      <c r="M82" s="18"/>
      <c r="N82" s="4"/>
      <c r="O82" s="4"/>
      <c r="P82" s="4"/>
      <c r="Q82" s="4"/>
      <c r="R82" s="705" t="str">
        <f>Sprache!$E$175</f>
        <v>Elfmeterschießen:</v>
      </c>
      <c r="S82" s="730"/>
      <c r="T82" s="706"/>
      <c r="U82" s="4"/>
      <c r="V82" s="4"/>
      <c r="W82" s="4"/>
      <c r="X82" s="4"/>
      <c r="Y82" s="4"/>
    </row>
    <row r="83" spans="1:25" ht="15.75" thickBot="1" x14ac:dyDescent="0.3">
      <c r="A83" s="4"/>
      <c r="B83" s="4"/>
      <c r="C83" s="4"/>
      <c r="D83" s="4"/>
      <c r="E83" s="4"/>
      <c r="F83" s="202"/>
      <c r="G83" s="204"/>
      <c r="H83" s="203"/>
      <c r="I83" s="4"/>
      <c r="J83" s="4"/>
      <c r="K83" s="4"/>
      <c r="L83" s="19"/>
      <c r="M83" s="18"/>
      <c r="N83" s="4"/>
      <c r="O83" s="4"/>
      <c r="P83" s="4"/>
      <c r="Q83" s="4"/>
      <c r="R83" s="202"/>
      <c r="S83" s="204"/>
      <c r="T83" s="203"/>
      <c r="U83" s="4"/>
      <c r="V83" s="4"/>
      <c r="W83" s="4"/>
      <c r="X83" s="4"/>
      <c r="Y83" s="4"/>
    </row>
    <row r="84" spans="1:25" x14ac:dyDescent="0.25">
      <c r="A84" s="4"/>
      <c r="B84" s="4"/>
      <c r="C84" s="4"/>
      <c r="D84" s="4"/>
      <c r="E84" s="4"/>
      <c r="F84" s="11" t="str">
        <f>VLOOKUP(E78,Matches!$B$103:$K$113,2,0)</f>
        <v>W97</v>
      </c>
      <c r="G84" s="15"/>
      <c r="H84" s="11" t="str">
        <f>VLOOKUP(E78,Matches!$B$103:$K$113,3,0)</f>
        <v>W98</v>
      </c>
      <c r="I84" s="4"/>
      <c r="J84" s="4"/>
      <c r="K84" s="4"/>
      <c r="L84" s="20"/>
      <c r="M84" s="18"/>
      <c r="N84" s="4"/>
      <c r="O84" s="4"/>
      <c r="P84" s="4"/>
      <c r="Q84" s="4"/>
      <c r="R84" s="11" t="str">
        <f>VLOOKUP(Q78,Matches!$B$103:$K$113,2,0)</f>
        <v>W99</v>
      </c>
      <c r="S84" s="15"/>
      <c r="T84" s="11" t="str">
        <f>VLOOKUP(Q78,Matches!$B$103:$K$113,3,0)</f>
        <v>W100</v>
      </c>
      <c r="U84" s="4"/>
      <c r="V84" s="4"/>
      <c r="W84" s="4"/>
      <c r="X84" s="4"/>
      <c r="Y84" s="4"/>
    </row>
    <row r="85" spans="1:25" ht="15.75" x14ac:dyDescent="0.25">
      <c r="A85" s="4"/>
      <c r="B85" s="4"/>
      <c r="C85" s="4"/>
      <c r="D85" s="4"/>
      <c r="E85" s="4"/>
      <c r="F85" s="714" t="str">
        <f>IF(AND(F81&lt;&gt;"",H81&lt;&gt;"",F81=H81,F83&lt;&gt;"",H83&lt;&gt;"",F83=H83),Sprache!$E$192,"")</f>
        <v/>
      </c>
      <c r="G85" s="714"/>
      <c r="H85" s="714"/>
      <c r="I85" s="4"/>
      <c r="J85" s="4"/>
      <c r="K85" s="4"/>
      <c r="L85" s="729" t="str">
        <f>VLOOKUP(K86,Matches!$B$103:$K$113,10,0)</f>
        <v>Dritter Platz</v>
      </c>
      <c r="M85" s="729"/>
      <c r="N85" s="729"/>
      <c r="O85" s="4"/>
      <c r="P85" s="4"/>
      <c r="Q85" s="4"/>
      <c r="R85" s="714" t="str">
        <f>IF(AND(R81&lt;&gt;"",T81&lt;&gt;"",R81=T81,R83&lt;&gt;"",T83&lt;&gt;"",R83=T83),Sprache!$E$192,"")</f>
        <v/>
      </c>
      <c r="S85" s="714"/>
      <c r="T85" s="714"/>
      <c r="U85" s="4"/>
      <c r="V85" s="4"/>
      <c r="W85" s="4"/>
      <c r="X85" s="4"/>
      <c r="Y85" s="4"/>
    </row>
    <row r="86" spans="1:25" x14ac:dyDescent="0.25">
      <c r="A86" s="4"/>
      <c r="B86" s="4"/>
      <c r="C86" s="4"/>
      <c r="D86" s="4"/>
      <c r="E86" s="4"/>
      <c r="F86" s="4"/>
      <c r="G86" s="4"/>
      <c r="H86" s="4"/>
      <c r="I86" s="4"/>
      <c r="J86" s="4"/>
      <c r="K86" s="86">
        <v>103</v>
      </c>
      <c r="L86" s="723" t="str">
        <f>VLOOKUP(K86,Matches!$B$4:$K$113,7,0)</f>
        <v>Miami</v>
      </c>
      <c r="M86" s="724"/>
      <c r="N86" s="725"/>
      <c r="O86" s="4"/>
      <c r="P86" s="4"/>
      <c r="Q86" s="4"/>
      <c r="R86" s="4"/>
      <c r="S86" s="4"/>
      <c r="T86" s="4"/>
      <c r="U86" s="4"/>
      <c r="V86" s="4"/>
      <c r="W86" s="4"/>
      <c r="X86" s="4"/>
      <c r="Y86" s="4"/>
    </row>
    <row r="87" spans="1:25" x14ac:dyDescent="0.25">
      <c r="A87" s="4"/>
      <c r="B87" s="4"/>
      <c r="C87" s="4"/>
      <c r="D87" s="4"/>
      <c r="E87" s="4"/>
      <c r="F87" s="4"/>
      <c r="G87" s="4"/>
      <c r="H87" s="4"/>
      <c r="I87" s="4"/>
      <c r="J87" s="4"/>
      <c r="K87" s="4"/>
      <c r="L87" s="697">
        <f>VLOOKUP(K86,Matches!$B$4:$K$113,5,0)</f>
        <v>46221.958333333336</v>
      </c>
      <c r="M87" s="727"/>
      <c r="N87" s="698"/>
      <c r="O87" s="4"/>
      <c r="P87" s="4"/>
      <c r="Q87" s="4"/>
      <c r="R87" s="4"/>
      <c r="S87" s="4"/>
      <c r="T87" s="4"/>
      <c r="U87" s="4"/>
      <c r="V87" s="4"/>
      <c r="W87" s="4"/>
      <c r="X87" s="4"/>
      <c r="Y87" s="4"/>
    </row>
    <row r="88" spans="1:25" x14ac:dyDescent="0.25">
      <c r="A88" s="4"/>
      <c r="B88" s="4"/>
      <c r="C88" s="4"/>
      <c r="D88" s="4"/>
      <c r="E88" s="4"/>
      <c r="F88" s="4"/>
      <c r="G88" s="4"/>
      <c r="H88" s="4"/>
      <c r="I88" s="4"/>
      <c r="J88" s="4"/>
      <c r="K88" s="4"/>
      <c r="L88" s="8" t="str">
        <f>IF(AND(F81&lt;&gt;"",H81&lt;&gt;""),IF(F81&lt;H81,F80,IF(F81&gt;H81,H80,IF(AND(F83&lt;&gt;"",H83&lt;&gt;""),IF(F83&lt;H83,F80,IF(F83&gt;H83,H80,"")),""))),"")</f>
        <v/>
      </c>
      <c r="M88" s="13"/>
      <c r="N88" s="9" t="str">
        <f>IF(AND(R81&lt;&gt;"",T81&lt;&gt;""),IF(R81&lt;T81,R80,IF(R81&gt;T81,T80,IF(AND(R83&lt;&gt;"",T83&lt;&gt;""),IF(R83&lt;T83,R80,IF(R83&gt;T83,T80,"")),""))),"")</f>
        <v/>
      </c>
      <c r="O88" s="4"/>
      <c r="P88" s="4"/>
      <c r="Q88" s="4"/>
      <c r="R88" s="4"/>
      <c r="S88" s="4"/>
      <c r="T88" s="4"/>
      <c r="U88" s="4"/>
      <c r="V88" s="4"/>
      <c r="W88" s="4"/>
      <c r="X88" s="4"/>
      <c r="Y88" s="4"/>
    </row>
    <row r="89" spans="1:25" ht="15.75" thickBot="1" x14ac:dyDescent="0.3">
      <c r="A89" s="4"/>
      <c r="B89" s="4"/>
      <c r="C89" s="4"/>
      <c r="D89" s="4"/>
      <c r="E89" s="4"/>
      <c r="F89" s="4"/>
      <c r="G89" s="4"/>
      <c r="H89" s="4"/>
      <c r="I89" s="4"/>
      <c r="J89" s="4"/>
      <c r="K89" s="4"/>
      <c r="L89" s="1"/>
      <c r="M89" s="14"/>
      <c r="N89" s="3"/>
      <c r="O89" s="206"/>
      <c r="P89" s="4"/>
      <c r="Q89" s="4"/>
      <c r="R89" s="4"/>
      <c r="S89" s="4"/>
      <c r="T89" s="4"/>
      <c r="U89" s="4"/>
      <c r="V89" s="4"/>
      <c r="W89" s="4"/>
      <c r="X89" s="4"/>
      <c r="Y89" s="4"/>
    </row>
    <row r="90" spans="1:25" ht="9.9499999999999993" customHeight="1" x14ac:dyDescent="0.25">
      <c r="A90" s="4"/>
      <c r="B90" s="4"/>
      <c r="C90" s="4"/>
      <c r="D90" s="4"/>
      <c r="E90" s="4"/>
      <c r="F90" s="4"/>
      <c r="G90" s="4"/>
      <c r="H90" s="4"/>
      <c r="I90" s="4"/>
      <c r="J90" s="4"/>
      <c r="K90" s="4"/>
      <c r="L90" s="705" t="str">
        <f>Sprache!$E$175</f>
        <v>Elfmeterschießen:</v>
      </c>
      <c r="M90" s="730"/>
      <c r="N90" s="706"/>
      <c r="O90" s="4"/>
      <c r="P90" s="4"/>
      <c r="Q90" s="4"/>
      <c r="R90" s="4"/>
      <c r="S90" s="4"/>
      <c r="T90" s="4"/>
      <c r="U90" s="4"/>
      <c r="V90" s="4"/>
      <c r="W90" s="4"/>
      <c r="X90" s="4"/>
      <c r="Y90" s="4"/>
    </row>
    <row r="91" spans="1:25" ht="15.75" thickBot="1" x14ac:dyDescent="0.3">
      <c r="A91" s="4"/>
      <c r="B91" s="4"/>
      <c r="C91" s="4"/>
      <c r="D91" s="4"/>
      <c r="E91" s="4"/>
      <c r="F91" s="4"/>
      <c r="G91" s="4"/>
      <c r="H91" s="4"/>
      <c r="I91" s="4"/>
      <c r="J91" s="4"/>
      <c r="K91" s="4"/>
      <c r="L91" s="202"/>
      <c r="M91" s="204"/>
      <c r="N91" s="203"/>
      <c r="O91" s="4"/>
      <c r="P91" s="4"/>
      <c r="Q91" s="4"/>
      <c r="R91" s="4"/>
      <c r="S91" s="4"/>
      <c r="T91" s="4"/>
      <c r="U91" s="4"/>
      <c r="V91" s="4"/>
      <c r="W91" s="4"/>
      <c r="X91" s="4"/>
      <c r="Y91" s="4"/>
    </row>
    <row r="92" spans="1:25" x14ac:dyDescent="0.25">
      <c r="A92" s="4"/>
      <c r="B92" s="4"/>
      <c r="C92" s="4"/>
      <c r="D92" s="4"/>
      <c r="E92" s="4"/>
      <c r="F92" s="4"/>
      <c r="G92" s="4"/>
      <c r="H92" s="4"/>
      <c r="I92" s="4"/>
      <c r="J92" s="4"/>
      <c r="K92" s="4"/>
      <c r="L92" s="11" t="str">
        <f>VLOOKUP(K86,Matches!$B$103:$K$113,2,0)</f>
        <v>RU101</v>
      </c>
      <c r="M92" s="102"/>
      <c r="N92" s="11" t="str">
        <f>VLOOKUP(K86,Matches!$B$103:$K$113,3,0)</f>
        <v>RU102</v>
      </c>
      <c r="O92" s="4"/>
      <c r="P92" s="4"/>
      <c r="Q92" s="4"/>
      <c r="R92" s="4"/>
      <c r="S92" s="4"/>
      <c r="T92" s="4"/>
      <c r="U92" s="4"/>
      <c r="V92" s="4"/>
      <c r="W92" s="4"/>
      <c r="X92" s="4"/>
      <c r="Y92" s="4"/>
    </row>
    <row r="93" spans="1:25" x14ac:dyDescent="0.25">
      <c r="A93" s="4"/>
      <c r="B93" s="4"/>
      <c r="C93" s="4"/>
      <c r="D93" s="4"/>
      <c r="E93" s="4"/>
      <c r="F93" s="4"/>
      <c r="G93" s="4"/>
      <c r="H93" s="4"/>
      <c r="I93" s="4"/>
      <c r="J93" s="4"/>
      <c r="K93" s="4"/>
      <c r="L93" s="714" t="str">
        <f>IF(AND(L89&lt;&gt;"",N89&lt;&gt;"",L89=N89,L91&lt;&gt;"",N91&lt;&gt;"",L91=N91),Sprache!$E$192,"")</f>
        <v/>
      </c>
      <c r="M93" s="714"/>
      <c r="N93" s="714"/>
      <c r="O93" s="4"/>
      <c r="P93" s="4"/>
      <c r="Q93" s="4"/>
      <c r="R93" s="4"/>
      <c r="S93" s="4"/>
      <c r="T93" s="4"/>
      <c r="U93" s="4"/>
      <c r="V93" s="4"/>
      <c r="W93" s="4"/>
      <c r="X93" s="4"/>
      <c r="Y93" s="4"/>
    </row>
    <row r="94" spans="1:25" x14ac:dyDescent="0.25">
      <c r="A94" s="4"/>
      <c r="B94" s="4"/>
      <c r="C94" s="4"/>
      <c r="D94" s="4"/>
      <c r="E94" s="4"/>
      <c r="F94" s="4"/>
      <c r="G94" s="4"/>
      <c r="H94" s="4"/>
      <c r="I94" s="4"/>
      <c r="J94" s="4"/>
      <c r="K94" s="4"/>
      <c r="L94" s="4"/>
      <c r="M94" s="4"/>
      <c r="N94" s="4"/>
      <c r="O94" s="4"/>
      <c r="P94" s="4"/>
      <c r="Q94" s="4"/>
      <c r="R94" s="4"/>
      <c r="S94" s="4"/>
      <c r="T94" s="4"/>
      <c r="U94" s="4"/>
      <c r="V94" s="4"/>
      <c r="W94" s="4"/>
      <c r="X94" s="4"/>
      <c r="Y94" s="4"/>
    </row>
    <row r="95" spans="1:25" ht="31.5" x14ac:dyDescent="0.25">
      <c r="A95" s="4"/>
      <c r="B95" s="4"/>
      <c r="C95" s="4"/>
      <c r="D95" s="4"/>
      <c r="E95" s="4"/>
      <c r="F95" s="4"/>
      <c r="G95" s="4"/>
      <c r="H95" s="4"/>
      <c r="I95" s="4"/>
      <c r="J95" s="4"/>
      <c r="K95" s="4"/>
      <c r="L95" s="720" t="str">
        <f>VLOOKUP(K96,Matches!$B$103:$K$113,10,0)</f>
        <v>Finale</v>
      </c>
      <c r="M95" s="721"/>
      <c r="N95" s="722"/>
      <c r="O95" s="4"/>
      <c r="P95" s="4"/>
      <c r="Q95" s="4"/>
      <c r="R95" s="4"/>
      <c r="S95" s="4"/>
      <c r="T95" s="4"/>
      <c r="U95" s="4"/>
      <c r="V95" s="4"/>
      <c r="W95" s="4"/>
      <c r="X95" s="4"/>
      <c r="Y95" s="4"/>
    </row>
    <row r="96" spans="1:25" x14ac:dyDescent="0.25">
      <c r="A96" s="4"/>
      <c r="B96" s="4"/>
      <c r="C96" s="4"/>
      <c r="D96" s="4"/>
      <c r="E96" s="4"/>
      <c r="F96" s="4"/>
      <c r="G96" s="4"/>
      <c r="H96" s="4"/>
      <c r="I96" s="4"/>
      <c r="J96" s="4"/>
      <c r="K96" s="86">
        <v>104</v>
      </c>
      <c r="L96" s="723" t="str">
        <f>VLOOKUP(K96,Matches!$B$4:$K$113,7,0)</f>
        <v>New York/New Jersey</v>
      </c>
      <c r="M96" s="724"/>
      <c r="N96" s="725"/>
      <c r="O96" s="4"/>
      <c r="P96" s="4"/>
      <c r="Q96" s="4"/>
      <c r="R96" s="726" t="str">
        <f>Sprache!$E$141</f>
        <v>Weltmeister 2026:</v>
      </c>
      <c r="S96" s="726"/>
      <c r="T96" s="726"/>
      <c r="U96" s="726"/>
      <c r="V96" s="726"/>
      <c r="W96" s="726"/>
      <c r="X96" s="4"/>
      <c r="Y96" s="4"/>
    </row>
    <row r="97" spans="1:25" x14ac:dyDescent="0.25">
      <c r="A97" s="4"/>
      <c r="B97" s="4"/>
      <c r="C97" s="4"/>
      <c r="D97" s="4"/>
      <c r="E97" s="4"/>
      <c r="F97" s="4"/>
      <c r="G97" s="4"/>
      <c r="H97" s="4"/>
      <c r="I97" s="4"/>
      <c r="J97" s="4"/>
      <c r="K97" s="4"/>
      <c r="L97" s="697">
        <f>VLOOKUP(K96,Matches!$B$4:$K$113,5,0)</f>
        <v>46222.875</v>
      </c>
      <c r="M97" s="727"/>
      <c r="N97" s="698"/>
      <c r="O97" s="4"/>
      <c r="P97" s="4"/>
      <c r="Q97" s="4"/>
      <c r="R97" s="726"/>
      <c r="S97" s="726"/>
      <c r="T97" s="726"/>
      <c r="U97" s="726"/>
      <c r="V97" s="726"/>
      <c r="W97" s="726"/>
      <c r="X97" s="4"/>
      <c r="Y97" s="4"/>
    </row>
    <row r="98" spans="1:25" x14ac:dyDescent="0.25">
      <c r="A98" s="4"/>
      <c r="B98" s="4"/>
      <c r="C98" s="4"/>
      <c r="D98" s="4"/>
      <c r="E98" s="4"/>
      <c r="F98" s="4"/>
      <c r="G98" s="4"/>
      <c r="H98" s="4"/>
      <c r="I98" s="4"/>
      <c r="J98" s="4"/>
      <c r="K98" s="4"/>
      <c r="L98" s="8" t="str">
        <f>IF(AND(F81&lt;&gt;"",H81&lt;&gt;""),IF(F81&gt;H81,F80,IF(F81&lt;H81,H80,IF(AND(F83&lt;&gt;"",H83&lt;&gt;""),IF(F83&gt;H83,F80,IF(F83&lt;H83,H80,"")),""))),"")</f>
        <v/>
      </c>
      <c r="M98" s="13"/>
      <c r="N98" s="9" t="str">
        <f>IF(AND(R81&lt;&gt;"",T81&lt;&gt;""),IF(R81&gt;T81,R80,IF(R81&lt;T81,T80,IF(AND(R83&lt;&gt;"",T83&lt;&gt;""),IF(R83&gt;T83,R80,IF(R83&lt;T83,T80,"")),""))),"")</f>
        <v/>
      </c>
      <c r="O98" s="4"/>
      <c r="P98" s="4"/>
      <c r="Q98" s="4"/>
      <c r="R98" s="728" t="str">
        <f>IF(AND(L99&lt;&gt;"",N99&lt;&gt;""),IF(L99&gt;N99,L98,IF(L99&lt;N99,N98,IF(AND(L101&lt;&gt;"",N101&lt;&gt;""),IF(L101&gt;N101,L98,IF(L101&lt;N101,N98,"")),""))),"")</f>
        <v/>
      </c>
      <c r="S98" s="728"/>
      <c r="T98" s="728"/>
      <c r="U98" s="728"/>
      <c r="V98" s="728"/>
      <c r="W98" s="728"/>
      <c r="X98" s="4"/>
      <c r="Y98" s="4"/>
    </row>
    <row r="99" spans="1:25" ht="15.75" thickBot="1" x14ac:dyDescent="0.3">
      <c r="A99" s="4"/>
      <c r="B99" s="17"/>
      <c r="C99" s="4"/>
      <c r="D99" s="4"/>
      <c r="E99" s="4"/>
      <c r="F99" s="4"/>
      <c r="G99" s="4"/>
      <c r="H99" s="4"/>
      <c r="I99" s="4"/>
      <c r="J99" s="4"/>
      <c r="K99" s="4"/>
      <c r="L99" s="1"/>
      <c r="M99" s="87"/>
      <c r="N99" s="3"/>
      <c r="O99" s="206"/>
      <c r="P99" s="4"/>
      <c r="Q99" s="4"/>
      <c r="R99" s="728"/>
      <c r="S99" s="728"/>
      <c r="T99" s="728"/>
      <c r="U99" s="728"/>
      <c r="V99" s="728"/>
      <c r="W99" s="728"/>
      <c r="X99" s="4"/>
      <c r="Y99" s="4"/>
    </row>
    <row r="100" spans="1:25" ht="9.9499999999999993" customHeight="1" x14ac:dyDescent="0.25">
      <c r="A100" s="4"/>
      <c r="B100" s="17"/>
      <c r="C100" s="4"/>
      <c r="D100" s="4"/>
      <c r="E100" s="4"/>
      <c r="F100" s="4"/>
      <c r="G100" s="4"/>
      <c r="H100" s="4"/>
      <c r="I100" s="4"/>
      <c r="J100" s="4"/>
      <c r="K100" s="4"/>
      <c r="L100" s="705" t="str">
        <f>Sprache!$E$175</f>
        <v>Elfmeterschießen:</v>
      </c>
      <c r="M100" s="730"/>
      <c r="N100" s="706"/>
      <c r="O100" s="4"/>
      <c r="P100" s="4"/>
      <c r="Q100" s="4"/>
      <c r="R100" s="201"/>
      <c r="S100" s="201"/>
      <c r="T100" s="201"/>
      <c r="U100" s="201"/>
      <c r="V100" s="201"/>
      <c r="W100" s="201"/>
      <c r="X100" s="4"/>
      <c r="Y100" s="4"/>
    </row>
    <row r="101" spans="1:25" ht="15" customHeight="1" thickBot="1" x14ac:dyDescent="0.3">
      <c r="A101" s="4"/>
      <c r="B101" s="17"/>
      <c r="C101" s="4"/>
      <c r="D101" s="4"/>
      <c r="E101" s="4"/>
      <c r="F101" s="4"/>
      <c r="G101" s="4"/>
      <c r="H101" s="4"/>
      <c r="I101" s="4"/>
      <c r="J101" s="4"/>
      <c r="K101" s="4"/>
      <c r="L101" s="202"/>
      <c r="M101" s="204"/>
      <c r="N101" s="203"/>
      <c r="O101" s="4"/>
      <c r="P101" s="4"/>
      <c r="Q101" s="4"/>
      <c r="R101" s="201"/>
      <c r="S101" s="201"/>
      <c r="T101" s="201"/>
      <c r="U101" s="201"/>
      <c r="V101" s="201"/>
      <c r="W101" s="201"/>
      <c r="X101" s="4"/>
      <c r="Y101" s="4"/>
    </row>
    <row r="102" spans="1:25" x14ac:dyDescent="0.25">
      <c r="A102" s="4"/>
      <c r="B102" s="4"/>
      <c r="C102" s="4"/>
      <c r="D102" s="4"/>
      <c r="E102" s="4"/>
      <c r="F102" s="4"/>
      <c r="G102" s="4"/>
      <c r="H102" s="4"/>
      <c r="I102" s="4"/>
      <c r="J102" s="4"/>
      <c r="K102" s="4"/>
      <c r="L102" s="11" t="str">
        <f>VLOOKUP(K96,Matches!$B$103:$K$113,2,0)</f>
        <v>W101</v>
      </c>
      <c r="M102" s="15"/>
      <c r="N102" s="11" t="str">
        <f>VLOOKUP(K96,Matches!$B$103:$K$113,3,0)</f>
        <v>W102</v>
      </c>
      <c r="O102" s="4"/>
      <c r="P102" s="4"/>
      <c r="Q102" s="4"/>
      <c r="R102" s="4"/>
      <c r="S102" s="4"/>
      <c r="T102" s="4"/>
      <c r="U102" s="4"/>
      <c r="V102" s="4"/>
      <c r="W102" s="4"/>
      <c r="X102" s="4"/>
      <c r="Y102" s="4"/>
    </row>
    <row r="103" spans="1:25" x14ac:dyDescent="0.25">
      <c r="A103" s="4"/>
      <c r="B103" s="4"/>
      <c r="C103" s="4"/>
      <c r="D103" s="4"/>
      <c r="E103" s="4"/>
      <c r="F103" s="4"/>
      <c r="G103" s="4"/>
      <c r="H103" s="4"/>
      <c r="I103" s="4"/>
      <c r="J103" s="4"/>
      <c r="K103" s="4"/>
      <c r="L103" s="714" t="str">
        <f>IF(AND(L99&lt;&gt;"",N99&lt;&gt;"",L99=N99,L101&lt;&gt;"",N101&lt;&gt;"",L101=N101),Sprache!$E$192,"")</f>
        <v/>
      </c>
      <c r="M103" s="714"/>
      <c r="N103" s="714"/>
      <c r="O103" s="4"/>
      <c r="P103" s="4"/>
      <c r="Q103" s="4"/>
      <c r="R103" s="4"/>
      <c r="S103" s="4"/>
      <c r="T103" s="4"/>
      <c r="U103" s="4"/>
      <c r="V103" s="4"/>
      <c r="W103" s="4"/>
      <c r="X103" s="4"/>
      <c r="Y103" s="4"/>
    </row>
    <row r="104" spans="1:25"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spans="1:25" x14ac:dyDescent="0.25">
      <c r="A105" s="4"/>
      <c r="B105" s="4"/>
      <c r="C105" s="4"/>
      <c r="D105" s="4"/>
      <c r="E105" s="4"/>
      <c r="F105" s="4"/>
      <c r="G105" s="4"/>
      <c r="H105" s="4"/>
      <c r="I105" s="4"/>
      <c r="J105" s="4"/>
      <c r="K105" s="4"/>
      <c r="L105" s="4"/>
      <c r="M105" s="4"/>
      <c r="N105" s="4"/>
      <c r="O105" s="4"/>
      <c r="P105" s="4"/>
      <c r="Q105" s="4"/>
      <c r="R105" s="4"/>
      <c r="S105" s="4"/>
      <c r="T105" s="4"/>
      <c r="U105" s="715"/>
      <c r="V105" s="716"/>
      <c r="W105" s="716"/>
      <c r="X105" s="716"/>
      <c r="Y105" s="4"/>
    </row>
    <row r="106" spans="1:25" x14ac:dyDescent="0.25">
      <c r="A106" s="4"/>
      <c r="B106" s="717" t="s">
        <v>1682</v>
      </c>
      <c r="C106" s="718"/>
      <c r="D106" s="718"/>
      <c r="E106" s="4"/>
      <c r="F106" s="4"/>
      <c r="G106" s="4"/>
      <c r="H106" s="4"/>
      <c r="I106" s="4"/>
      <c r="J106" s="4"/>
      <c r="K106" s="4"/>
      <c r="L106" s="4"/>
      <c r="M106" s="4"/>
      <c r="N106" s="4"/>
      <c r="O106" s="4"/>
      <c r="P106" s="4"/>
      <c r="Q106" s="4"/>
      <c r="R106" s="4"/>
      <c r="S106" s="4"/>
      <c r="T106" s="719" t="s">
        <v>992</v>
      </c>
      <c r="U106" s="719"/>
      <c r="V106" s="719"/>
      <c r="W106" s="719"/>
      <c r="X106" s="719"/>
      <c r="Y106" s="4"/>
    </row>
    <row r="107" spans="1:25" x14ac:dyDescent="0.25"/>
  </sheetData>
  <sheetProtection sheet="1" selectLockedCells="1"/>
  <mergeCells count="354">
    <mergeCell ref="AC55:AD55"/>
    <mergeCell ref="AF55:AG55"/>
    <mergeCell ref="AI55:AJ55"/>
    <mergeCell ref="Z49:AA49"/>
    <mergeCell ref="AC49:AD49"/>
    <mergeCell ref="AF49:AG49"/>
    <mergeCell ref="AI49:AJ49"/>
    <mergeCell ref="Z52:AA52"/>
    <mergeCell ref="AC52:AD52"/>
    <mergeCell ref="AF52:AG52"/>
    <mergeCell ref="AI52:AJ52"/>
    <mergeCell ref="B55:C55"/>
    <mergeCell ref="E55:F55"/>
    <mergeCell ref="H55:I55"/>
    <mergeCell ref="K55:L55"/>
    <mergeCell ref="N55:O55"/>
    <mergeCell ref="Q55:R55"/>
    <mergeCell ref="T55:U55"/>
    <mergeCell ref="W55:X55"/>
    <mergeCell ref="Z55:AA55"/>
    <mergeCell ref="B49:C49"/>
    <mergeCell ref="E49:F49"/>
    <mergeCell ref="H49:I49"/>
    <mergeCell ref="K49:L49"/>
    <mergeCell ref="N49:O49"/>
    <mergeCell ref="Q49:R49"/>
    <mergeCell ref="T49:U49"/>
    <mergeCell ref="W49:X49"/>
    <mergeCell ref="B52:C52"/>
    <mergeCell ref="E52:F52"/>
    <mergeCell ref="H52:I52"/>
    <mergeCell ref="K52:L52"/>
    <mergeCell ref="N52:O52"/>
    <mergeCell ref="Q52:R52"/>
    <mergeCell ref="T52:U52"/>
    <mergeCell ref="W52:X52"/>
    <mergeCell ref="E1:U1"/>
    <mergeCell ref="B7:X7"/>
    <mergeCell ref="B8:C8"/>
    <mergeCell ref="E8:F8"/>
    <mergeCell ref="H8:I8"/>
    <mergeCell ref="K8:L8"/>
    <mergeCell ref="N8:O8"/>
    <mergeCell ref="Q8:R8"/>
    <mergeCell ref="T8:U8"/>
    <mergeCell ref="W8:X8"/>
    <mergeCell ref="C1:D1"/>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T9:U9"/>
    <mergeCell ref="W9:X9"/>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B41:C41"/>
    <mergeCell ref="E41:F41"/>
    <mergeCell ref="H41:I41"/>
    <mergeCell ref="K41:L41"/>
    <mergeCell ref="N41:O41"/>
    <mergeCell ref="Q41:R41"/>
    <mergeCell ref="T41:U41"/>
    <mergeCell ref="W41:X41"/>
    <mergeCell ref="B22:C22"/>
    <mergeCell ref="E22:F22"/>
    <mergeCell ref="H22:I22"/>
    <mergeCell ref="K22:L22"/>
    <mergeCell ref="N22:O22"/>
    <mergeCell ref="Q22:R22"/>
    <mergeCell ref="B27:C27"/>
    <mergeCell ref="E27:F27"/>
    <mergeCell ref="H27:I27"/>
    <mergeCell ref="K27:L27"/>
    <mergeCell ref="N27:O27"/>
    <mergeCell ref="Q27:R27"/>
    <mergeCell ref="T27:U27"/>
    <mergeCell ref="W27:X27"/>
    <mergeCell ref="B31:C31"/>
    <mergeCell ref="E31:F31"/>
    <mergeCell ref="B57:C57"/>
    <mergeCell ref="E57:F57"/>
    <mergeCell ref="H57:I57"/>
    <mergeCell ref="K57:L57"/>
    <mergeCell ref="N57:O57"/>
    <mergeCell ref="Q57:R57"/>
    <mergeCell ref="T57:U57"/>
    <mergeCell ref="W57:X57"/>
    <mergeCell ref="B47:C47"/>
    <mergeCell ref="E47:F47"/>
    <mergeCell ref="H47:I47"/>
    <mergeCell ref="K47:L47"/>
    <mergeCell ref="N47:O47"/>
    <mergeCell ref="Q47:R47"/>
    <mergeCell ref="T47:U47"/>
    <mergeCell ref="W47:X47"/>
    <mergeCell ref="B48:C48"/>
    <mergeCell ref="E48:F48"/>
    <mergeCell ref="H48:I48"/>
    <mergeCell ref="K48:L48"/>
    <mergeCell ref="N48:O48"/>
    <mergeCell ref="Q48:R48"/>
    <mergeCell ref="T48:U48"/>
    <mergeCell ref="W48:X48"/>
    <mergeCell ref="B59:C59"/>
    <mergeCell ref="E59:F59"/>
    <mergeCell ref="H59:I59"/>
    <mergeCell ref="K59:L59"/>
    <mergeCell ref="N59:O59"/>
    <mergeCell ref="Q59:R59"/>
    <mergeCell ref="T59:U59"/>
    <mergeCell ref="W59:X59"/>
    <mergeCell ref="B58:C58"/>
    <mergeCell ref="E58:F58"/>
    <mergeCell ref="H58:I58"/>
    <mergeCell ref="K58:L58"/>
    <mergeCell ref="N58:O58"/>
    <mergeCell ref="Q58:R58"/>
    <mergeCell ref="W58:X58"/>
    <mergeCell ref="C67:E67"/>
    <mergeCell ref="I67:K67"/>
    <mergeCell ref="O67:Q67"/>
    <mergeCell ref="U67:W67"/>
    <mergeCell ref="C68:E68"/>
    <mergeCell ref="I68:K68"/>
    <mergeCell ref="O68:Q68"/>
    <mergeCell ref="U68:W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F82:H82"/>
    <mergeCell ref="R82:T82"/>
    <mergeCell ref="C75:E75"/>
    <mergeCell ref="I75:K75"/>
    <mergeCell ref="O75:Q75"/>
    <mergeCell ref="U75:W75"/>
    <mergeCell ref="F77:H77"/>
    <mergeCell ref="R77:T77"/>
    <mergeCell ref="C69:E69"/>
    <mergeCell ref="I69:K69"/>
    <mergeCell ref="O69:Q69"/>
    <mergeCell ref="U69:W69"/>
    <mergeCell ref="C72:E72"/>
    <mergeCell ref="I72:K72"/>
    <mergeCell ref="O72:Q72"/>
    <mergeCell ref="U72:W72"/>
    <mergeCell ref="Z47:AA47"/>
    <mergeCell ref="Z48:AA48"/>
    <mergeCell ref="L103:N103"/>
    <mergeCell ref="U105:X105"/>
    <mergeCell ref="B106:D106"/>
    <mergeCell ref="T106:X106"/>
    <mergeCell ref="L93:N93"/>
    <mergeCell ref="L95:N95"/>
    <mergeCell ref="L96:N96"/>
    <mergeCell ref="R96:W97"/>
    <mergeCell ref="L97:N97"/>
    <mergeCell ref="R98:W99"/>
    <mergeCell ref="F85:H85"/>
    <mergeCell ref="L85:N85"/>
    <mergeCell ref="R85:T85"/>
    <mergeCell ref="L86:N86"/>
    <mergeCell ref="L87:N87"/>
    <mergeCell ref="L90:N90"/>
    <mergeCell ref="F78:H78"/>
    <mergeCell ref="R78:T78"/>
    <mergeCell ref="F79:H79"/>
    <mergeCell ref="R79:T79"/>
    <mergeCell ref="L100:N100"/>
    <mergeCell ref="T58:U58"/>
    <mergeCell ref="T22:U22"/>
    <mergeCell ref="W22:X22"/>
    <mergeCell ref="T17:U17"/>
    <mergeCell ref="W17:X17"/>
    <mergeCell ref="T12:U12"/>
    <mergeCell ref="W12:X12"/>
    <mergeCell ref="Z11:AA11"/>
    <mergeCell ref="AC11:AD11"/>
    <mergeCell ref="AF11:AG11"/>
    <mergeCell ref="AF12:AG12"/>
    <mergeCell ref="AI12:AJ12"/>
    <mergeCell ref="AI11:AJ11"/>
    <mergeCell ref="Z9:AA9"/>
    <mergeCell ref="AC9:AD9"/>
    <mergeCell ref="AF9:AG9"/>
    <mergeCell ref="AI9:AJ9"/>
    <mergeCell ref="Z8:AA8"/>
    <mergeCell ref="AC8:AD8"/>
    <mergeCell ref="AF8:AG8"/>
    <mergeCell ref="AI8:AJ8"/>
    <mergeCell ref="AC32:AD32"/>
    <mergeCell ref="AF32:AG32"/>
    <mergeCell ref="AI32:AJ32"/>
    <mergeCell ref="Z41:AA41"/>
    <mergeCell ref="AC41:AD41"/>
    <mergeCell ref="AF41:AG41"/>
    <mergeCell ref="AI41:AJ41"/>
    <mergeCell ref="Z22:AA22"/>
    <mergeCell ref="AC22:AD22"/>
    <mergeCell ref="AF22:AG22"/>
    <mergeCell ref="AI22:AJ22"/>
    <mergeCell ref="AF31:AG31"/>
    <mergeCell ref="AC31:AD31"/>
    <mergeCell ref="Z27:AA27"/>
    <mergeCell ref="AC27:AD27"/>
    <mergeCell ref="AF27:AG27"/>
    <mergeCell ref="AI27:AJ27"/>
    <mergeCell ref="AI31:AJ31"/>
    <mergeCell ref="AU55:AV55"/>
    <mergeCell ref="AR55:AS55"/>
    <mergeCell ref="AO55:AP55"/>
    <mergeCell ref="AL55:AM55"/>
    <mergeCell ref="AU52:AV52"/>
    <mergeCell ref="AR52:AS52"/>
    <mergeCell ref="AO52:AP52"/>
    <mergeCell ref="AL52:AM52"/>
    <mergeCell ref="AU49:AV49"/>
    <mergeCell ref="AR49:AS49"/>
    <mergeCell ref="AO49:AP49"/>
    <mergeCell ref="AL49:AM49"/>
    <mergeCell ref="E32:F32"/>
    <mergeCell ref="AC26:AD26"/>
    <mergeCell ref="AF26:AG26"/>
    <mergeCell ref="AU48:AV48"/>
    <mergeCell ref="AR48:AS48"/>
    <mergeCell ref="AO48:AP48"/>
    <mergeCell ref="AL48:AM48"/>
    <mergeCell ref="AU47:AV47"/>
    <mergeCell ref="AR47:AS47"/>
    <mergeCell ref="AO47:AP47"/>
    <mergeCell ref="AL47:AM47"/>
    <mergeCell ref="AI26:AJ26"/>
    <mergeCell ref="AC36:AD36"/>
    <mergeCell ref="AF36:AG36"/>
    <mergeCell ref="AI36:AJ36"/>
    <mergeCell ref="AC37:AD37"/>
    <mergeCell ref="AF37:AG37"/>
    <mergeCell ref="AI37:AJ37"/>
    <mergeCell ref="AC47:AD47"/>
    <mergeCell ref="AF47:AG47"/>
    <mergeCell ref="AI47:AJ47"/>
    <mergeCell ref="AC48:AD48"/>
    <mergeCell ref="AF48:AG48"/>
    <mergeCell ref="AI48:AJ48"/>
    <mergeCell ref="Z7:AJ7"/>
    <mergeCell ref="B26:C26"/>
    <mergeCell ref="E26:F26"/>
    <mergeCell ref="H26:I26"/>
    <mergeCell ref="K26:L26"/>
    <mergeCell ref="N26:O26"/>
    <mergeCell ref="Q26:R26"/>
    <mergeCell ref="T26:U26"/>
    <mergeCell ref="W26:X26"/>
    <mergeCell ref="Z26:AA26"/>
    <mergeCell ref="Z21:AA21"/>
    <mergeCell ref="AC21:AD21"/>
    <mergeCell ref="AF21:AG21"/>
    <mergeCell ref="AI21:AJ21"/>
    <mergeCell ref="Z17:AA17"/>
    <mergeCell ref="AC17:AD17"/>
    <mergeCell ref="AF17:AG17"/>
    <mergeCell ref="AI17:AJ17"/>
    <mergeCell ref="Z16:AA16"/>
    <mergeCell ref="AC16:AD16"/>
    <mergeCell ref="AF16:AG16"/>
    <mergeCell ref="AI16:AJ16"/>
    <mergeCell ref="Z12:AA12"/>
    <mergeCell ref="AC12:AD12"/>
    <mergeCell ref="H32:I32"/>
    <mergeCell ref="K32:L32"/>
    <mergeCell ref="N32:O32"/>
    <mergeCell ref="Q32:R32"/>
    <mergeCell ref="T32:U32"/>
    <mergeCell ref="W32:X32"/>
    <mergeCell ref="Z32:AA32"/>
    <mergeCell ref="H31:I31"/>
    <mergeCell ref="K31:L31"/>
    <mergeCell ref="N31:O31"/>
    <mergeCell ref="Q31:R31"/>
    <mergeCell ref="T31:U31"/>
    <mergeCell ref="W31:X31"/>
    <mergeCell ref="Z31:AA31"/>
    <mergeCell ref="AO39:AP39"/>
    <mergeCell ref="AL30:AM30"/>
    <mergeCell ref="AL44:AN44"/>
    <mergeCell ref="AL45:AN45"/>
    <mergeCell ref="AL31:AM31"/>
    <mergeCell ref="B37:C37"/>
    <mergeCell ref="E37:F37"/>
    <mergeCell ref="H37:I37"/>
    <mergeCell ref="K37:L37"/>
    <mergeCell ref="N37:O37"/>
    <mergeCell ref="Q37:R37"/>
    <mergeCell ref="T37:U37"/>
    <mergeCell ref="W37:X37"/>
    <mergeCell ref="Z37:AA37"/>
    <mergeCell ref="B36:C36"/>
    <mergeCell ref="E36:F36"/>
    <mergeCell ref="H36:I36"/>
    <mergeCell ref="K36:L36"/>
    <mergeCell ref="N36:O36"/>
    <mergeCell ref="Q36:R36"/>
    <mergeCell ref="T36:U36"/>
    <mergeCell ref="W36:X36"/>
    <mergeCell ref="Z36:AA36"/>
    <mergeCell ref="B32:C32"/>
  </mergeCells>
  <conditionalFormatting sqref="B44 E44 H44 K44 N44 Q44 T44 W44 Z44 AC44 AF44 AI44">
    <cfRule type="expression" dxfId="38" priority="18">
      <formula>COUNTIF($AN$32:$AN$39,RIGHT(B9,1))&gt;0</formula>
    </cfRule>
  </conditionalFormatting>
  <conditionalFormatting sqref="C44 F44 I44 L44 O44 R44 U44 X44 AA44 AD44 AG44 AJ44">
    <cfRule type="expression" dxfId="37" priority="17">
      <formula>COUNTIF($AN$32:$AN$39,RIGHT(B9,1))&gt;0</formula>
    </cfRule>
  </conditionalFormatting>
  <conditionalFormatting sqref="B5 E5 H5 K5 N5 Q5 T5 W5 Z5 AC5 AF5 AI5">
    <cfRule type="expression" dxfId="36" priority="16">
      <formula>COUNTIF($AN$32:$AN$39,RIGHT(B9,1))&gt;0</formula>
    </cfRule>
  </conditionalFormatting>
  <conditionalFormatting sqref="C5 F5 I5 L5 O5 R5 U5 X5 AA5 AD5 AG5 AJ5">
    <cfRule type="expression" dxfId="35" priority="15">
      <formula>COUNTIF($AN$32:$AN$39,RIGHT(B9,1))&gt;0</formula>
    </cfRule>
  </conditionalFormatting>
  <conditionalFormatting sqref="C14 C19 C24 C29 C34 C39 F14 F19 F24 F29 F34 F39 I14 I19 I24 I29 I34 I39 L14 L19 L24 L29 L34 L39 O14 O19 O24 O29 O34 O39 R14 R19 R24 R29 R34 R39 U14 U19 U24 U29 U34 U39 X14 X19 X24 X29 X34 X39 AA14 AA19 AA24 AA29 AA34 AA39 AD14 AD19 AD24 AD29 AD34 AD39 AG14 AG19 AG24 AG29 AG34 AG39 AJ14 AJ19 AJ24 AJ29 AJ34 AJ39">
    <cfRule type="expression" dxfId="34" priority="14">
      <formula>AND(B12&lt;NOW()-0.125,C14="")</formula>
    </cfRule>
  </conditionalFormatting>
  <conditionalFormatting sqref="B14 B19 B24 B29 B34 B39 E14 E19 E24 E29 E34 E39 H14 H19 H24 H29 H34 H39 K14 K19 K24 K29 K34 K39 N14 N19 N24 N29 N34 N39 Q14 Q19 Q24 Q29 Q34 Q39 T14 T19 T24 T29 T34 T39 W14 W19 W24 W29 W34 W39 Z14 Z19 Z24 Z29 Z34 Z39 AC14 AC19 AC24 AC29 AC34 AC39 AF14 AF19 AF24 AF29 AF34 AF39 AI14 AI19 AI24 AI29 AI34 AI39 B51 E51 H51 K51 N51 Q51 T51 W51 Z51 AC51 AF51 AI51 AL51 AO51 AR51 AU51 B61 E61 H61 K61 N61 Q61 T61 W61 C71 I71 O71 U71 R81 F81 L89 L99">
    <cfRule type="expression" dxfId="33" priority="13">
      <formula>AND(B12&lt;NOW()-0.125,B14="")</formula>
    </cfRule>
  </conditionalFormatting>
  <conditionalFormatting sqref="B12 B17 B22 B27 B32 B37 E12 E17 E22 E27 E32 E37 H12 H17 H22 H27 H32 H37 K12 K17 K22 K27 K32 K37 N12 N17 N22 N27 N32 N37 Q12 Q17 Q22 Q27 Q32 Q37 T12 T17 T22 T27 T32 T37 W12 W17 W22 W27 W32 W37 Z12 Z17 Z22 Z27 Z32 Z37 AC12 AC17 AC22 AC27 AC32 AC37 AF12 AF17 AF22 AF27 AF32 AF37 AI12 AI17 AI22 AI27 AI32 AI37 B49 E49 H49 K49 N49 Q49 T49 W49 Z49 AC49 AF49 AI49 AL49 AO49 AR49 AU49 B59 E59 H59 K59 N59 Q59 T59 W59 C69 I69 O69 U69 F79 R79 L87 L97">
    <cfRule type="expression" dxfId="32" priority="12">
      <formula>INT(B12)=TODAY()</formula>
    </cfRule>
  </conditionalFormatting>
  <conditionalFormatting sqref="B52 E52 H52 K52 N52 Q52 T52 W52 Z52 AC52 AF52 AI52 AL52 AO52 AR52 AU52 B62 E62 H62 K62 N62 Q62 T62 W62">
    <cfRule type="expression" dxfId="31" priority="11">
      <formula>AND(B51=C51,B51&lt;&gt;"")</formula>
    </cfRule>
  </conditionalFormatting>
  <conditionalFormatting sqref="C72 I72 O72 U72 F82 R82 L90 L100">
    <cfRule type="expression" dxfId="30" priority="10">
      <formula>AND(C71=E71,C71&lt;&gt;"")</formula>
    </cfRule>
  </conditionalFormatting>
  <conditionalFormatting sqref="B53 E53 H53 K53 N53 Q53 T53 W53 Z53 AC53 AF53 AI53 AL53 AO53 AR53 AU53 B63 E63 H63 K63 N63 Q63 T63 W63">
    <cfRule type="expression" dxfId="29" priority="9">
      <formula>AND(B51=C51,B51&lt;&gt;"")</formula>
    </cfRule>
  </conditionalFormatting>
  <conditionalFormatting sqref="C53 F53 I53 L53 O53 R53 U53 X53 AA53 AD53 AG53 AJ53 AM53 AP53 AS53 AV53 C63 F63 I63 L63 O63 R63 U63 X63">
    <cfRule type="expression" dxfId="28" priority="8">
      <formula>AND(B51=C51,B51&lt;&gt;"")</formula>
    </cfRule>
  </conditionalFormatting>
  <conditionalFormatting sqref="C73 I73 O73 U73 R83 F83 L91 L101">
    <cfRule type="expression" dxfId="27" priority="7">
      <formula>AND(C71=E71,C71&lt;&gt;"")</formula>
    </cfRule>
  </conditionalFormatting>
  <conditionalFormatting sqref="E73 K73 Q73 W73 H83 T83 N91 N101">
    <cfRule type="expression" dxfId="26" priority="6">
      <formula>AND(C71=E71,C71&lt;&gt;"")</formula>
    </cfRule>
  </conditionalFormatting>
  <conditionalFormatting sqref="E71 K71 Q71 W71 H81 T81 N89 N99">
    <cfRule type="expression" dxfId="25" priority="5">
      <formula>AND(C69&lt;NOW()-0.125,E71="")</formula>
    </cfRule>
  </conditionalFormatting>
  <conditionalFormatting sqref="B3:AV99">
    <cfRule type="expression" dxfId="24" priority="1">
      <formula>AND(B3=$AZ$10,B3&lt;&gt;"")</formula>
    </cfRule>
    <cfRule type="expression" dxfId="23" priority="2">
      <formula>AND(B3=$AZ$9,B3&lt;&gt;"")</formula>
    </cfRule>
    <cfRule type="expression" dxfId="22" priority="3">
      <formula>AND(B3=$AZ$8,B3&lt;&gt;"")</formula>
    </cfRule>
    <cfRule type="expression" dxfId="21" priority="4">
      <formula>AND(B3=$AZ$7,B3&lt;&gt;"")</formula>
    </cfRule>
  </conditionalFormatting>
  <dataValidations count="2">
    <dataValidation type="whole" allowBlank="1" showInputMessage="1" showErrorMessage="1" sqref="B14:C15 E14:F15 H14:I15 K14:L15 N14:O15 Q14:R15 Q19:R20 N19:O20 K19:L20 H19:I20 E19:F20 B19:C20 B24:C24 E24:F24 H24:I24 K24:L24 N24:O24 Q24:R24 T14:U15 W14:X15 W19:X20 T19:U20 T24:U24 W24:X24 N91 K63:L63 E63:F63 N63:O63 H63:I63 T83 B63:C63 Q63:R63 T63:U63 Q73 K73 I73 L99 L91 E73 C73 W63:X63 W73 O73 H83 U73 R83 F83 B61:C61 E61:F61 H61:I61 K61:L61 N61:O61 Q61:R61 T61:U61 W61:X61 C71 E71 I71 K71 O71 Q71 U71 W71 H81 F81 T81 R81 L89 N89 N99 N101 L101 Z14:AA15 AC14:AD15 AF14:AG15 AI14:AJ15 AL14:AM15 AO14:AP15 AO19:AP20 AL19:AM20 AI19:AJ20 AF19:AG20 AC19:AD20 Z19:AA20 Z24:AA24 AC24:AD24 AF24:AG24 AI24:AJ24 AL24:AM24 AO24:AP24 AR14:AS15 AU14:AV15 AU19:AV20 AR19:AS20 AR24:AS24 AU24:AV24 K53:L53 E53:F53 N53:O53 H53:I53 B53:C53 Q53:R53 T53:U53 W53:X53 B51:C51 E51:F51 H51:I51 K51:L51 N51:O51 Q51:R51 T51:U51 W51:X51 AI53:AJ53 AC53:AD53 AL53:AM53 AF53:AG53 Z53:AA53 AO53:AP53 AR53:AS53 AU53:AV53 Z51:AA51 AC51:AD51 AF51:AG51 AI51:AJ51 AL51:AM51 AO51:AP51 AR51:AS51 AU51:AV51 B29:C29 E29:F29 H29:I29 K29:L29 N29:O29 Q29:R29 T29:U29 W29:X29 Z29:AA29 AC29:AD29 AF29:AG29 AI29:AJ29 B34:C34 E34:F34 H34:I34 K34:L34 N34:O34 Q34:R34 T34:U34 W34:X34 Z34:AA34 AC34:AD34 AF34:AG34 AI34:AJ34 B39:C39 E39:F39 H39:I39 K39:L39 N39:O39 Q39:R39 T39:U39 W39:X39 Z39:AA39 AC39:AD39 AF39:AG39 AI39:AJ39" xr:uid="{557A3C54-97C5-4DED-848C-AFF220961F45}">
      <formula1>0</formula1>
      <formula2>99</formula2>
    </dataValidation>
    <dataValidation operator="lessThanOrEqual" allowBlank="1" showInputMessage="1" showErrorMessage="1" sqref="AM32:AM39 AN30:AN39 AL44:AL45 AL40:AN43 AO44:AQ45 AQ37:AQ38 AO36:AQ36 AO39:AQ39 AL30:AL39" xr:uid="{111D77F1-C6A7-4F9E-A49E-BE3528A736DE}"/>
  </dataValidations>
  <hyperlinks>
    <hyperlink ref="T106" r:id="rId1" display="https://hermann-baum.de/excel/WorldCup2022/de" xr:uid="{75C68710-D779-4CE5-88C8-C528C8E7B4AA}"/>
    <hyperlink ref="T106:X106" r:id="rId2" display="https://hermann-baum.de/excel/WorldCup/de" xr:uid="{CA658F54-53EB-482C-A0D9-7D3C6BB1DCA2}"/>
  </hyperlinks>
  <pageMargins left="0.7" right="0.7" top="0.78740157499999996" bottom="0.78740157499999996" header="0.3" footer="0.3"/>
  <pageSetup paperSize="9"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476" id="{22FFC782-87A2-41F2-9C12-50F6C31D89C4}">
            <xm:f>Distinctness!$D$4&gt;0</xm:f>
            <x14:dxf>
              <font>
                <b val="0"/>
                <i val="0"/>
                <color rgb="FFB72343"/>
              </font>
            </x14:dxf>
          </x14:cfRule>
          <xm:sqref>B7</xm:sqref>
        </x14:conditionalFormatting>
        <x14:conditionalFormatting xmlns:xm="http://schemas.microsoft.com/office/excel/2006/main">
          <x14:cfRule type="expression" priority="250" id="{376F017B-E3F1-40EE-956E-BB60CE7584AF}">
            <xm:f>Distinctness!$D$4&gt;0</xm:f>
            <x14:dxf>
              <font>
                <b val="0"/>
                <i val="0"/>
                <color rgb="FFB72343"/>
              </font>
            </x14:dxf>
          </x14:cfRule>
          <xm:sqref>Z7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9"/>
  <sheetViews>
    <sheetView workbookViewId="0"/>
  </sheetViews>
  <sheetFormatPr baseColWidth="10" defaultRowHeight="15" x14ac:dyDescent="0.25"/>
  <sheetData>
    <row r="1" spans="2:14" ht="23.25" x14ac:dyDescent="0.35">
      <c r="B1" s="58" t="s">
        <v>303</v>
      </c>
      <c r="C1" s="58"/>
      <c r="D1" s="58"/>
      <c r="E1" s="58"/>
      <c r="F1" s="58"/>
    </row>
    <row r="3" spans="2:14" x14ac:dyDescent="0.25">
      <c r="B3" s="35" t="s">
        <v>196</v>
      </c>
      <c r="C3" s="35" t="s">
        <v>195</v>
      </c>
      <c r="D3" s="35" t="s">
        <v>194</v>
      </c>
      <c r="E3" s="35" t="s">
        <v>197</v>
      </c>
      <c r="F3" s="35" t="s">
        <v>309</v>
      </c>
      <c r="G3" s="35" t="s">
        <v>35</v>
      </c>
      <c r="H3" s="35" t="s">
        <v>193</v>
      </c>
      <c r="J3" s="55"/>
      <c r="K3" s="56"/>
      <c r="L3" s="56"/>
      <c r="M3" s="56"/>
      <c r="N3" s="56"/>
    </row>
    <row r="4" spans="2:14" x14ac:dyDescent="0.25">
      <c r="B4" s="26" t="s">
        <v>24</v>
      </c>
      <c r="C4" s="26" t="b">
        <f>CalcA!$AU$14</f>
        <v>0</v>
      </c>
      <c r="D4" s="36">
        <f>COUNTIF($C$4:$C$15,TRUE)</f>
        <v>0</v>
      </c>
      <c r="E4" s="26" t="str">
        <f>IF($C4,$B4,"")</f>
        <v/>
      </c>
      <c r="F4" s="100">
        <f>LEN($E4)</f>
        <v>0</v>
      </c>
      <c r="G4" s="100">
        <f>SUM($F$4:$F4)</f>
        <v>0</v>
      </c>
      <c r="H4" t="str">
        <f>IF($E4&lt;&gt;"",$E4&amp;IF($G4=$G$15,"",IF($G4&lt;$G$15-1,", ",Sprache!$E$191)),"")</f>
        <v/>
      </c>
      <c r="J4" s="777" t="str">
        <f>Sprache!$E$189&amp;"  "&amp;$K$13&amp;"."</f>
        <v>Gruppen mit Fair-Play-Wertung:  .</v>
      </c>
      <c r="K4" s="778"/>
      <c r="L4" s="778"/>
      <c r="M4" s="778"/>
      <c r="N4" s="778"/>
    </row>
    <row r="5" spans="2:14" x14ac:dyDescent="0.25">
      <c r="B5" s="26" t="s">
        <v>20</v>
      </c>
      <c r="C5" s="641" t="b">
        <f>CalcB!$AU$14</f>
        <v>0</v>
      </c>
      <c r="E5" s="641" t="str">
        <f t="shared" ref="E5:E15" si="0">IF($C5,$B5,"")</f>
        <v/>
      </c>
      <c r="F5" s="100">
        <f t="shared" ref="F5:F15" si="1">LEN($E5)</f>
        <v>0</v>
      </c>
      <c r="G5" s="100">
        <f>SUM($F$4:$F5)</f>
        <v>0</v>
      </c>
      <c r="H5" t="str">
        <f>IF($E5&lt;&gt;"",$E5&amp;IF($G5=$G$15,"",IF($G5&lt;$G$15-1,", ",Sprache!$E$191)),"")</f>
        <v/>
      </c>
      <c r="J5" s="779" t="str">
        <f>Sprache!$E$190</f>
        <v>Die Platzierung ist in allen Gruppen geklärt.</v>
      </c>
      <c r="K5" s="779"/>
      <c r="L5" s="779"/>
      <c r="M5" s="779"/>
      <c r="N5" s="779"/>
    </row>
    <row r="6" spans="2:14" x14ac:dyDescent="0.25">
      <c r="B6" s="26" t="s">
        <v>21</v>
      </c>
      <c r="C6" s="641" t="b">
        <f>CalcC!$AU$14</f>
        <v>0</v>
      </c>
      <c r="E6" s="641" t="str">
        <f t="shared" si="0"/>
        <v/>
      </c>
      <c r="F6" s="100">
        <f t="shared" si="1"/>
        <v>0</v>
      </c>
      <c r="G6" s="100">
        <f>SUM($F$4:$F6)</f>
        <v>0</v>
      </c>
      <c r="H6" t="str">
        <f>IF($E6&lt;&gt;"",$E6&amp;IF($G6=$G$15,"",IF($G6&lt;$G$15-1,", ",Sprache!$E$191)),"")</f>
        <v/>
      </c>
    </row>
    <row r="7" spans="2:14" x14ac:dyDescent="0.25">
      <c r="B7" s="26" t="s">
        <v>25</v>
      </c>
      <c r="C7" s="641" t="b">
        <f>CalcD!$AU$14</f>
        <v>0</v>
      </c>
      <c r="E7" s="641" t="str">
        <f t="shared" si="0"/>
        <v/>
      </c>
      <c r="F7" s="100">
        <f t="shared" si="1"/>
        <v>0</v>
      </c>
      <c r="G7" s="100">
        <f>SUM($F$4:$F7)</f>
        <v>0</v>
      </c>
      <c r="H7" t="str">
        <f>IF($E7&lt;&gt;"",$E7&amp;IF($G7=$G$15,"",IF($G7&lt;$G$15-1,", ",Sprache!$E$191)),"")</f>
        <v/>
      </c>
      <c r="J7" s="55"/>
      <c r="K7" s="55"/>
      <c r="L7" s="55"/>
      <c r="M7" s="55"/>
      <c r="N7" s="55"/>
    </row>
    <row r="8" spans="2:14" x14ac:dyDescent="0.25">
      <c r="B8" s="26" t="s">
        <v>22</v>
      </c>
      <c r="C8" s="641" t="b">
        <f>CalcE!$AU$14</f>
        <v>0</v>
      </c>
      <c r="E8" s="641" t="str">
        <f t="shared" si="0"/>
        <v/>
      </c>
      <c r="F8" s="100">
        <f t="shared" si="1"/>
        <v>0</v>
      </c>
      <c r="G8" s="100">
        <f>SUM($F$4:$F8)</f>
        <v>0</v>
      </c>
      <c r="H8" t="str">
        <f>IF($E8&lt;&gt;"",$E8&amp;IF($G8=$G$15,"",IF($G8&lt;$G$15-1,", ",Sprache!$E$191)),"")</f>
        <v/>
      </c>
      <c r="J8" s="55"/>
      <c r="K8" s="55"/>
      <c r="L8" s="55"/>
      <c r="M8" s="55"/>
      <c r="N8" s="55"/>
    </row>
    <row r="9" spans="2:14" x14ac:dyDescent="0.25">
      <c r="B9" s="26" t="s">
        <v>23</v>
      </c>
      <c r="C9" s="641" t="b">
        <f>CalcF!$AU$14</f>
        <v>0</v>
      </c>
      <c r="E9" s="641" t="str">
        <f t="shared" si="0"/>
        <v/>
      </c>
      <c r="F9" s="100">
        <f t="shared" si="1"/>
        <v>0</v>
      </c>
      <c r="G9" s="100">
        <f>SUM($F$4:$F9)</f>
        <v>0</v>
      </c>
      <c r="H9" t="str">
        <f>IF($E9&lt;&gt;"",$E9&amp;IF($G9=$G$15,"",IF($G9&lt;$G$15-1,", ",Sprache!$E$191)),"")</f>
        <v/>
      </c>
    </row>
    <row r="10" spans="2:14" x14ac:dyDescent="0.25">
      <c r="B10" s="26" t="s">
        <v>270</v>
      </c>
      <c r="C10" s="641" t="b">
        <f>CalcG!$AU$14</f>
        <v>0</v>
      </c>
      <c r="E10" s="641" t="str">
        <f t="shared" si="0"/>
        <v/>
      </c>
      <c r="F10" s="100">
        <f t="shared" si="1"/>
        <v>0</v>
      </c>
      <c r="G10" s="100">
        <f>SUM($F$4:$F10)</f>
        <v>0</v>
      </c>
      <c r="H10" t="str">
        <f>IF($E10&lt;&gt;"",$E10&amp;IF($G10=$G$15,"",IF($G10&lt;$G$15-1,", ",Sprache!$E$191)),"")</f>
        <v/>
      </c>
    </row>
    <row r="11" spans="2:14" x14ac:dyDescent="0.25">
      <c r="B11" s="26" t="s">
        <v>31</v>
      </c>
      <c r="C11" s="641" t="b">
        <f>CalcH!$AU$14</f>
        <v>0</v>
      </c>
      <c r="E11" s="641" t="str">
        <f t="shared" si="0"/>
        <v/>
      </c>
      <c r="F11" s="100">
        <f t="shared" si="1"/>
        <v>0</v>
      </c>
      <c r="G11" s="100">
        <f>SUM($F$4:$F11)</f>
        <v>0</v>
      </c>
      <c r="H11" t="str">
        <f>IF($E11&lt;&gt;"",$E11&amp;IF($G11=$G$15,"",IF($G11&lt;$G$15-1,", ",Sprache!$E$191)),"")</f>
        <v/>
      </c>
    </row>
    <row r="12" spans="2:14" x14ac:dyDescent="0.25">
      <c r="B12" s="236" t="s">
        <v>32</v>
      </c>
      <c r="C12" s="641" t="b">
        <f>CalcI!$AU$14</f>
        <v>0</v>
      </c>
      <c r="E12" s="641" t="str">
        <f t="shared" si="0"/>
        <v/>
      </c>
      <c r="F12" s="236">
        <f t="shared" si="1"/>
        <v>0</v>
      </c>
      <c r="G12" s="236">
        <f>SUM($F$4:$F12)</f>
        <v>0</v>
      </c>
      <c r="H12" t="str">
        <f>IF($E12&lt;&gt;"",$E12&amp;IF($G12=$G$15,"",IF($G12&lt;$G$15-1,", ",Sprache!$E$191)),"")</f>
        <v/>
      </c>
      <c r="J12" s="57"/>
      <c r="K12" s="57"/>
      <c r="L12" s="57"/>
      <c r="M12" s="57"/>
      <c r="N12" s="57"/>
    </row>
    <row r="13" spans="2:14" x14ac:dyDescent="0.25">
      <c r="B13" s="236" t="s">
        <v>814</v>
      </c>
      <c r="C13" s="641" t="b">
        <f>CalcJ!$AU$14</f>
        <v>0</v>
      </c>
      <c r="E13" s="641" t="str">
        <f t="shared" si="0"/>
        <v/>
      </c>
      <c r="F13" s="236">
        <f t="shared" si="1"/>
        <v>0</v>
      </c>
      <c r="G13" s="236">
        <f>SUM($F$4:$F13)</f>
        <v>0</v>
      </c>
      <c r="H13" t="str">
        <f>IF($E13&lt;&gt;"",$E13&amp;IF($G13=$G$15,"",IF($G13&lt;$G$15-1,", ",Sprache!$E$191)),"")</f>
        <v/>
      </c>
      <c r="J13" s="35" t="s">
        <v>192</v>
      </c>
      <c r="K13" s="780" t="str">
        <f>$H$4&amp;$H$5&amp;$H$6&amp;$H$7&amp;$H$8&amp;$H$9&amp;$H$10&amp;$H$11&amp;$H$12&amp;$H$13&amp;$H$14&amp;$H$15</f>
        <v/>
      </c>
      <c r="L13" s="781"/>
      <c r="M13" s="781"/>
      <c r="N13" s="781"/>
    </row>
    <row r="14" spans="2:14" x14ac:dyDescent="0.25">
      <c r="B14" s="236" t="s">
        <v>33</v>
      </c>
      <c r="C14" s="641" t="b">
        <f>CalcK!$AU$14</f>
        <v>0</v>
      </c>
      <c r="E14" s="641" t="str">
        <f t="shared" si="0"/>
        <v/>
      </c>
      <c r="F14" s="236">
        <f t="shared" si="1"/>
        <v>0</v>
      </c>
      <c r="G14" s="236">
        <f>SUM($F$4:$F14)</f>
        <v>0</v>
      </c>
      <c r="H14" t="str">
        <f>IF($E14&lt;&gt;"",$E14&amp;IF($G14=$G$15,"",IF($G14&lt;$G$15-1,", ",Sprache!$E$191)),"")</f>
        <v/>
      </c>
    </row>
    <row r="15" spans="2:14" x14ac:dyDescent="0.25">
      <c r="B15" s="236" t="s">
        <v>34</v>
      </c>
      <c r="C15" s="641" t="b">
        <f>CalcL!$AU$14</f>
        <v>0</v>
      </c>
      <c r="E15" s="641" t="str">
        <f t="shared" si="0"/>
        <v/>
      </c>
      <c r="F15" s="236">
        <f t="shared" si="1"/>
        <v>0</v>
      </c>
      <c r="G15" s="236">
        <f>SUM($F$4:$F15)</f>
        <v>0</v>
      </c>
      <c r="H15" t="str">
        <f>IF($E15&lt;&gt;"",$E15&amp;IF($G15=$G$15,"",IF($G15&lt;$G$15-1,", ",Sprache!$E$191)),"")</f>
        <v/>
      </c>
      <c r="J15" s="61"/>
      <c r="K15" s="61"/>
    </row>
    <row r="16" spans="2:14" ht="15.75" thickBot="1" x14ac:dyDescent="0.3">
      <c r="B16" s="236"/>
      <c r="C16" s="236"/>
      <c r="E16" s="236"/>
      <c r="F16" s="236"/>
      <c r="G16" s="236"/>
      <c r="J16" s="62"/>
      <c r="K16" s="62"/>
    </row>
    <row r="17" spans="2:7" ht="15.75" thickBot="1" x14ac:dyDescent="0.3">
      <c r="B17" s="236"/>
      <c r="C17" s="236"/>
      <c r="E17" s="236"/>
      <c r="F17" s="37" t="s">
        <v>1603</v>
      </c>
      <c r="G17" s="378">
        <f>CalcA!$L$9+CalcB!$L$9+CalcC!$L$9+CalcD!$L$9+CalcE!$L$9+CalcF!$L$9+CalcG!$L$9+CalcH!$L$9+CalcI!$L$9+CalcJ!$L$9+CalcK!$L$9+CalcL!$L$9</f>
        <v>0</v>
      </c>
    </row>
    <row r="18" spans="2:7" x14ac:dyDescent="0.25">
      <c r="B18" s="236"/>
      <c r="C18" s="236"/>
      <c r="E18" s="236"/>
      <c r="F18" s="236"/>
      <c r="G18" s="236"/>
    </row>
    <row r="19" spans="2:7" x14ac:dyDescent="0.25">
      <c r="B19" s="236"/>
      <c r="C19" s="236"/>
      <c r="E19" s="236"/>
      <c r="F19" s="236"/>
      <c r="G19" s="236"/>
    </row>
  </sheetData>
  <mergeCells count="3">
    <mergeCell ref="J4:N4"/>
    <mergeCell ref="J5:N5"/>
    <mergeCell ref="K13:N13"/>
  </mergeCell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BFD0B-B526-4F0F-A6B4-CA0082A3A817}">
  <sheetPr codeName="Tabelle6"/>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6.140625" style="605" customWidth="1"/>
    <col min="42" max="42" width="5.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3" width="2.7109375" style="605"/>
    <col min="54" max="54" width="3" style="605" bestFit="1" customWidth="1"/>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c r="AZ3" s="679" t="s">
        <v>1812</v>
      </c>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Mexiko</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15</v>
      </c>
      <c r="R5" s="652">
        <f>(1000-Q5)*($L$9&gt;0)</f>
        <v>0</v>
      </c>
      <c r="S5" s="504"/>
      <c r="T5" s="504"/>
      <c r="U5" s="520"/>
      <c r="V5" s="504"/>
      <c r="W5" s="504"/>
      <c r="X5" s="668"/>
      <c r="Y5" s="504"/>
      <c r="Z5" s="504"/>
      <c r="AA5" s="504"/>
      <c r="AB5" s="668"/>
      <c r="AC5" s="504"/>
      <c r="AD5" s="504"/>
      <c r="AE5" s="504"/>
      <c r="AF5" s="668"/>
      <c r="AG5" s="504"/>
      <c r="AH5" s="504"/>
      <c r="AI5" s="504"/>
      <c r="AJ5" s="668"/>
      <c r="AK5" s="504"/>
      <c r="AL5" s="504"/>
      <c r="AM5" s="668"/>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Südafrika</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60</v>
      </c>
      <c r="R6" s="652">
        <f t="shared" ref="R6:R8" si="3">(1000-Q6)*($L$9&gt;0)</f>
        <v>0</v>
      </c>
      <c r="S6" s="504"/>
      <c r="T6" s="504"/>
      <c r="U6" s="520"/>
      <c r="V6" s="504"/>
      <c r="W6" s="504"/>
      <c r="X6" s="668"/>
      <c r="Y6" s="504"/>
      <c r="Z6" s="504"/>
      <c r="AA6" s="504"/>
      <c r="AB6" s="668"/>
      <c r="AC6" s="504"/>
      <c r="AD6" s="504"/>
      <c r="AE6" s="504"/>
      <c r="AF6" s="668"/>
      <c r="AG6" s="504"/>
      <c r="AH6" s="504"/>
      <c r="AI6" s="504"/>
      <c r="AJ6" s="668"/>
      <c r="AK6" s="504"/>
      <c r="AL6" s="504"/>
      <c r="AM6" s="668"/>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Südkorea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25</v>
      </c>
      <c r="R7" s="652">
        <f t="shared" si="3"/>
        <v>0</v>
      </c>
      <c r="S7" s="504"/>
      <c r="T7" s="504"/>
      <c r="U7" s="520"/>
      <c r="V7" s="504"/>
      <c r="W7" s="504"/>
      <c r="X7" s="668"/>
      <c r="Y7" s="504"/>
      <c r="Z7" s="504"/>
      <c r="AA7" s="504"/>
      <c r="AB7" s="668"/>
      <c r="AC7" s="504"/>
      <c r="AD7" s="504"/>
      <c r="AE7" s="504"/>
      <c r="AF7" s="668"/>
      <c r="AG7" s="504"/>
      <c r="AH7" s="504"/>
      <c r="AI7" s="504"/>
      <c r="AJ7" s="668"/>
      <c r="AK7" s="504"/>
      <c r="AL7" s="504"/>
      <c r="AM7" s="668"/>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Tschechien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41</v>
      </c>
      <c r="R8" s="652">
        <f t="shared" si="3"/>
        <v>0</v>
      </c>
      <c r="S8" s="504"/>
      <c r="T8" s="504"/>
      <c r="U8" s="520"/>
      <c r="V8" s="504"/>
      <c r="W8" s="504"/>
      <c r="X8" s="668"/>
      <c r="Y8" s="504"/>
      <c r="Z8" s="504"/>
      <c r="AA8" s="504"/>
      <c r="AB8" s="668"/>
      <c r="AC8" s="504"/>
      <c r="AD8" s="504"/>
      <c r="AE8" s="504"/>
      <c r="AF8" s="668"/>
      <c r="AG8" s="504"/>
      <c r="AH8" s="504"/>
      <c r="AI8" s="504"/>
      <c r="AJ8" s="668"/>
      <c r="AK8" s="504"/>
      <c r="AL8" s="504"/>
      <c r="AM8" s="668"/>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Mexiko</v>
      </c>
      <c r="BF13" s="533" t="str">
        <v>Südafrika</v>
      </c>
      <c r="BG13" s="533" t="str">
        <v>Südkorea</v>
      </c>
      <c r="BH13" s="534" t="str">
        <v>Tschechien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Mexiko</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Mexiko</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Südafrika</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Südafrika</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Südkorea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Südkorea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Tschechien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Tschechien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Mexiko</v>
      </c>
      <c r="I21" s="562" t="str">
        <v>Südafrika</v>
      </c>
      <c r="J21" s="562" t="str">
        <v>Südkorea</v>
      </c>
      <c r="K21" s="563" t="str">
        <v>Tschechien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Mexiko</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15</v>
      </c>
      <c r="O22" s="572" t="s">
        <v>26</v>
      </c>
      <c r="P22" s="608" t="str">
        <f>INDEX('World Cup'!$B$13:$AJ$38,1,1+(CODE($B$1)-65)*3)</f>
        <v>Mexiko</v>
      </c>
      <c r="Q22" s="609" t="str">
        <f>INDEX('World Cup'!$B$13:$AJ$38,1,2+(CODE($B$1)-65)*3)</f>
        <v>Südafrika</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7" si="28">IF(AND(P22&lt;&gt;"",Q22&lt;&gt;"",P22&lt;&gt;Q22,R22&lt;&gt;"",S22&lt;&gt;""),1,0)</f>
        <v>0</v>
      </c>
      <c r="U22" s="575">
        <f t="shared" ref="U22:U27" si="29">IF($T22=0,0,IF($R22&gt;$S22,3,IF($R22=$S22,1,0)))</f>
        <v>0</v>
      </c>
      <c r="V22" s="576">
        <f t="shared" ref="V22:V27" si="30">IF($T22=0,0,IF($R22&lt;$S22,3,IF($R22=$S22,1,0)))</f>
        <v>0</v>
      </c>
      <c r="W22" s="577">
        <f t="shared" ref="W22:W27" si="31">IF(OR(R22="",S22=""),0,R22-S22)</f>
        <v>0</v>
      </c>
      <c r="X22" s="578">
        <f t="shared" ref="X22:X27" si="32">IF(OR(R22="",S22=""),0,R22)</f>
        <v>0</v>
      </c>
      <c r="Y22" s="579">
        <f t="shared" ref="Y22:Y27" si="33">IF(OR(R22="",S22=""),0,S22)</f>
        <v>0</v>
      </c>
      <c r="Z22" s="580" t="str">
        <f t="shared" ref="Z22:Z27" si="34">P22&amp;Q22</f>
        <v>MexikoSüdafrika</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Südafrika</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60</v>
      </c>
      <c r="O23" s="584" t="s">
        <v>27</v>
      </c>
      <c r="P23" s="611" t="str">
        <f>INDEX('World Cup'!$B$13:$AJ$38,6,1+(CODE($B$1)-65)*3)</f>
        <v>Südkorea</v>
      </c>
      <c r="Q23" s="612" t="str">
        <f>INDEX('World Cup'!$B$13:$AJ$38,6,2+(CODE($B$1)-65)*3)</f>
        <v>Tschechien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SüdkoreaTschechien</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Südkorea</v>
      </c>
      <c r="E24" s="631">
        <f t="shared" si="36"/>
        <v>0</v>
      </c>
      <c r="F24" s="504">
        <f t="shared" si="37"/>
        <v>0</v>
      </c>
      <c r="G24" s="638">
        <f t="shared" si="38"/>
        <v>0</v>
      </c>
      <c r="H24" s="568" t="str">
        <v/>
      </c>
      <c r="I24" s="504" t="str">
        <v/>
      </c>
      <c r="J24" s="569" t="str">
        <v/>
      </c>
      <c r="K24" s="634" t="str">
        <v/>
      </c>
      <c r="L24" s="621" t="b">
        <f t="shared" si="39"/>
        <v>0</v>
      </c>
      <c r="M24" s="621" t="b">
        <v>0</v>
      </c>
      <c r="N24" s="505">
        <f t="shared" si="40"/>
        <v>25</v>
      </c>
      <c r="O24" s="584" t="s">
        <v>28</v>
      </c>
      <c r="P24" s="611" t="str">
        <f>INDEX('World Cup'!$B$13:$AJ$38,11,1+(CODE($B$1)-65)*3)</f>
        <v>Tschechien</v>
      </c>
      <c r="Q24" s="612" t="str">
        <f>INDEX('World Cup'!$B$13:$AJ$38,11,2+(CODE($B$1)-65)*3)</f>
        <v>Südafrika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TschechienSüdafrika</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Tschechien</v>
      </c>
      <c r="E25" s="639">
        <f t="shared" si="36"/>
        <v>0</v>
      </c>
      <c r="F25" s="571">
        <f t="shared" si="37"/>
        <v>0</v>
      </c>
      <c r="G25" s="640">
        <f t="shared" si="38"/>
        <v>0</v>
      </c>
      <c r="H25" s="570" t="str">
        <v/>
      </c>
      <c r="I25" s="571" t="str">
        <v/>
      </c>
      <c r="J25" s="571" t="str">
        <v/>
      </c>
      <c r="K25" s="635" t="str">
        <v/>
      </c>
      <c r="L25" s="621" t="b">
        <f t="shared" si="39"/>
        <v>0</v>
      </c>
      <c r="M25" s="621" t="b">
        <v>0</v>
      </c>
      <c r="N25" s="505">
        <f t="shared" si="40"/>
        <v>41</v>
      </c>
      <c r="O25" s="584" t="s">
        <v>29</v>
      </c>
      <c r="P25" s="611" t="str">
        <f>INDEX('World Cup'!$B$13:$AJ$38,16,1+(CODE($B$1)-65)*3)</f>
        <v>Mexiko</v>
      </c>
      <c r="Q25" s="612" t="str">
        <f>INDEX('World Cup'!$B$13:$AJ$38,16,2+(CODE($B$1)-65)*3)</f>
        <v>Südkorea</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MexikoSüdkorea</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Tschechien</v>
      </c>
      <c r="Q26" s="612" t="str">
        <f>INDEX('World Cup'!$B$13:$AJ$38,21,2+(CODE($B$1)-65)*3)</f>
        <v>Mexiko</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si="28"/>
        <v>0</v>
      </c>
      <c r="U26" s="586">
        <f t="shared" si="29"/>
        <v>0</v>
      </c>
      <c r="V26" s="504">
        <f t="shared" si="30"/>
        <v>0</v>
      </c>
      <c r="W26" s="587">
        <f t="shared" si="31"/>
        <v>0</v>
      </c>
      <c r="X26" s="588">
        <f t="shared" si="32"/>
        <v>0</v>
      </c>
      <c r="Y26" s="589">
        <f t="shared" si="33"/>
        <v>0</v>
      </c>
      <c r="Z26" s="590" t="str">
        <f t="shared" si="34"/>
        <v>TschechienMexiko</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Südafrika</v>
      </c>
      <c r="Q27" s="615" t="str">
        <f>INDEX('World Cup'!$B$13:$AJ$38,26,2+(CODE($B$1)-65)*3)</f>
        <v>Südkorea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28"/>
        <v>0</v>
      </c>
      <c r="U27" s="597">
        <f t="shared" si="29"/>
        <v>0</v>
      </c>
      <c r="V27" s="596">
        <f t="shared" si="30"/>
        <v>0</v>
      </c>
      <c r="W27" s="598">
        <f t="shared" si="31"/>
        <v>0</v>
      </c>
      <c r="X27" s="599">
        <f t="shared" si="32"/>
        <v>0</v>
      </c>
      <c r="Y27" s="600">
        <f t="shared" si="33"/>
        <v>0</v>
      </c>
      <c r="Z27" s="601" t="str">
        <f t="shared" si="34"/>
        <v>SüdafrikaSüdkorea</v>
      </c>
      <c r="AA27" s="602" t="str">
        <f>IF($T27,$X27&amp;Sprache!$E$197&amp;$Y27,"")</f>
        <v/>
      </c>
      <c r="AE27" s="526"/>
      <c r="AF27" s="526"/>
      <c r="AG27" s="504"/>
      <c r="AH27" s="526"/>
      <c r="AI27" s="526"/>
      <c r="AJ27" s="526"/>
      <c r="AK27" s="582"/>
      <c r="AL27" s="526"/>
      <c r="AM27" s="526"/>
      <c r="AN27" s="660"/>
      <c r="AO27" s="660"/>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2">Q22&amp;P22</f>
        <v>SüdafrikaMexiko</v>
      </c>
      <c r="AA28" s="591" t="str">
        <f>IF($T22,$Y22&amp;Sprache!$E$197&amp;$X22,"")</f>
        <v/>
      </c>
      <c r="AE28" s="526"/>
      <c r="AF28" s="526"/>
      <c r="AG28" s="504"/>
      <c r="AH28" s="526"/>
      <c r="AI28" s="526"/>
      <c r="AJ28" s="526"/>
      <c r="AK28" s="582"/>
      <c r="AL28" s="526"/>
      <c r="AM28" s="526"/>
      <c r="AN28" s="660"/>
      <c r="AO28" s="660"/>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2"/>
        <v>TschechienSüdkorea</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2"/>
        <v>SüdafrikaTschechien</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2"/>
        <v>SüdkoreaMexiko</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2"/>
        <v>MexikoTschechien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2"/>
        <v>SüdkoreaSüdafrika</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5EDC-D658-4A9E-9B91-DA0CA98897D0}">
  <sheetPr codeName="Tabelle7"/>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20</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Kanada</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30</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Bosnien/Herzeg.</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65</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Katar</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55</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Schweiz</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19</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Kanada</v>
      </c>
      <c r="BF13" s="533" t="str">
        <v>Bosnien/Herzeg.</v>
      </c>
      <c r="BG13" s="533" t="str">
        <v>Katar</v>
      </c>
      <c r="BH13" s="534" t="str">
        <v>Schweiz</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Kanada</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Kanada</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Bosnien/Herzeg.</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Bosnien/Herzeg.</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Katar</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Katar</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Schweiz</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Schweiz</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Kanada</v>
      </c>
      <c r="I21" s="562" t="str">
        <v>Bosnien/Herzeg.</v>
      </c>
      <c r="J21" s="562" t="str">
        <v>Katar</v>
      </c>
      <c r="K21" s="563" t="str">
        <v>Schweiz</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Kanada</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30</v>
      </c>
      <c r="O22" s="572" t="s">
        <v>26</v>
      </c>
      <c r="P22" s="608" t="str">
        <f>INDEX('World Cup'!$B$13:$AJ$38,1,1+(CODE($B$1)-65)*3)</f>
        <v>Kanada</v>
      </c>
      <c r="Q22" s="609" t="str">
        <f>INDEX('World Cup'!$B$13:$AJ$38,1,2+(CODE($B$1)-65)*3)</f>
        <v>Bosnien/Herzeg.</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KanadaBosnien/Herzeg.</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Bosnien/Herzeg.</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65</v>
      </c>
      <c r="O23" s="584" t="s">
        <v>27</v>
      </c>
      <c r="P23" s="611" t="str">
        <f>INDEX('World Cup'!$B$13:$AJ$38,6,1+(CODE($B$1)-65)*3)</f>
        <v>Katar</v>
      </c>
      <c r="Q23" s="612" t="str">
        <f>INDEX('World Cup'!$B$13:$AJ$38,6,2+(CODE($B$1)-65)*3)</f>
        <v>Schweiz</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KatarSchweiz</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Katar</v>
      </c>
      <c r="E24" s="631">
        <f t="shared" si="36"/>
        <v>0</v>
      </c>
      <c r="F24" s="504">
        <f t="shared" si="37"/>
        <v>0</v>
      </c>
      <c r="G24" s="638">
        <f t="shared" si="38"/>
        <v>0</v>
      </c>
      <c r="H24" s="568" t="str">
        <v/>
      </c>
      <c r="I24" s="504" t="str">
        <v/>
      </c>
      <c r="J24" s="569" t="str">
        <v/>
      </c>
      <c r="K24" s="634" t="str">
        <v/>
      </c>
      <c r="L24" s="621" t="b">
        <f t="shared" si="39"/>
        <v>0</v>
      </c>
      <c r="M24" s="621" t="b">
        <v>0</v>
      </c>
      <c r="N24" s="505">
        <f t="shared" si="40"/>
        <v>55</v>
      </c>
      <c r="O24" s="584" t="s">
        <v>28</v>
      </c>
      <c r="P24" s="611" t="str">
        <f>INDEX('World Cup'!$B$13:$AJ$38,11,1+(CODE($B$1)-65)*3)</f>
        <v>Schweiz</v>
      </c>
      <c r="Q24" s="612" t="str">
        <f>INDEX('World Cup'!$B$13:$AJ$38,11,2+(CODE($B$1)-65)*3)</f>
        <v>Bosnien/Herzeg.</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SchweizBosnien/Herzeg.</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Schweiz</v>
      </c>
      <c r="E25" s="639">
        <f t="shared" si="36"/>
        <v>0</v>
      </c>
      <c r="F25" s="571">
        <f t="shared" si="37"/>
        <v>0</v>
      </c>
      <c r="G25" s="640">
        <f t="shared" si="38"/>
        <v>0</v>
      </c>
      <c r="H25" s="570" t="str">
        <v/>
      </c>
      <c r="I25" s="571" t="str">
        <v/>
      </c>
      <c r="J25" s="571" t="str">
        <v/>
      </c>
      <c r="K25" s="635" t="str">
        <v/>
      </c>
      <c r="L25" s="621" t="b">
        <f t="shared" si="39"/>
        <v>0</v>
      </c>
      <c r="M25" s="621" t="b">
        <v>0</v>
      </c>
      <c r="N25" s="505">
        <f t="shared" si="40"/>
        <v>19</v>
      </c>
      <c r="O25" s="584" t="s">
        <v>29</v>
      </c>
      <c r="P25" s="611" t="str">
        <f>INDEX('World Cup'!$B$13:$AJ$38,16,1+(CODE($B$1)-65)*3)</f>
        <v>Kanada</v>
      </c>
      <c r="Q25" s="612" t="str">
        <f>INDEX('World Cup'!$B$13:$AJ$38,16,2+(CODE($B$1)-65)*3)</f>
        <v>Katar</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KanadaKatar</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Schweiz</v>
      </c>
      <c r="Q26" s="612" t="str">
        <f>INDEX('World Cup'!$B$13:$AJ$38,21,2+(CODE($B$1)-65)*3)</f>
        <v>Kanada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SchweizKanada</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Bosnien/Herzeg.</v>
      </c>
      <c r="Q27" s="615" t="str">
        <f>INDEX('World Cup'!$B$13:$AJ$38,26,2+(CODE($B$1)-65)*3)</f>
        <v>Katar</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Bosnien/Herzeg.Katar</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Bosnien/Herzeg.Kanada</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SchweizKatar</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Bosnien/Herzeg.Schweiz</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KatarKanada</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KanadaSchweiz</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KatarBosnien/Herzeg.</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EB91E-7271-41B4-AD3D-692C8B3DA78D}">
  <sheetPr codeName="Tabelle8"/>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21</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Brasilien</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6</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Marokko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Haiti</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83</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Schottland</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43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Brasilien</v>
      </c>
      <c r="BF13" s="533" t="str">
        <v>Marokko</v>
      </c>
      <c r="BG13" s="533" t="str">
        <v>Haiti</v>
      </c>
      <c r="BH13" s="534" t="str">
        <v>Schottland</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Brasilien</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Brasilien</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Marokko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Marokko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Haiti</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Haiti</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Schottland</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Schottland</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Brasilien</v>
      </c>
      <c r="I21" s="562" t="str">
        <v>Marokko</v>
      </c>
      <c r="J21" s="562" t="str">
        <v>Haiti</v>
      </c>
      <c r="K21" s="563" t="str">
        <v>Schottland</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Brasilien</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6</v>
      </c>
      <c r="O22" s="572" t="s">
        <v>26</v>
      </c>
      <c r="P22" s="608" t="str">
        <f>INDEX('World Cup'!$B$13:$AJ$38,1,1+(CODE($B$1)-65)*3)</f>
        <v>Brasilien</v>
      </c>
      <c r="Q22" s="609" t="str">
        <f>INDEX('World Cup'!$B$13:$AJ$38,1,2+(CODE($B$1)-65)*3)</f>
        <v>Marokko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BrasilienMarokko</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Marokko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8</v>
      </c>
      <c r="O23" s="584" t="s">
        <v>27</v>
      </c>
      <c r="P23" s="611" t="str">
        <f>INDEX('World Cup'!$B$13:$AJ$38,6,1+(CODE($B$1)-65)*3)</f>
        <v>Haiti</v>
      </c>
      <c r="Q23" s="612" t="str">
        <f>INDEX('World Cup'!$B$13:$AJ$38,6,2+(CODE($B$1)-65)*3)</f>
        <v>Schottland</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HaitiSchottland</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Haiti</v>
      </c>
      <c r="E24" s="631">
        <f t="shared" si="36"/>
        <v>0</v>
      </c>
      <c r="F24" s="504">
        <f t="shared" si="37"/>
        <v>0</v>
      </c>
      <c r="G24" s="638">
        <f t="shared" si="38"/>
        <v>0</v>
      </c>
      <c r="H24" s="568" t="str">
        <v/>
      </c>
      <c r="I24" s="504" t="str">
        <v/>
      </c>
      <c r="J24" s="569" t="str">
        <v/>
      </c>
      <c r="K24" s="634" t="str">
        <v/>
      </c>
      <c r="L24" s="621" t="b">
        <f t="shared" si="39"/>
        <v>0</v>
      </c>
      <c r="M24" s="621" t="b">
        <v>0</v>
      </c>
      <c r="N24" s="505">
        <f t="shared" si="40"/>
        <v>83</v>
      </c>
      <c r="O24" s="584" t="s">
        <v>28</v>
      </c>
      <c r="P24" s="611" t="str">
        <f>INDEX('World Cup'!$B$13:$AJ$38,11,1+(CODE($B$1)-65)*3)</f>
        <v>Schottland</v>
      </c>
      <c r="Q24" s="612" t="str">
        <f>INDEX('World Cup'!$B$13:$AJ$38,11,2+(CODE($B$1)-65)*3)</f>
        <v>Marokko</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SchottlandMarokko</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Schottland</v>
      </c>
      <c r="E25" s="639">
        <f t="shared" si="36"/>
        <v>0</v>
      </c>
      <c r="F25" s="571">
        <f t="shared" si="37"/>
        <v>0</v>
      </c>
      <c r="G25" s="640">
        <f t="shared" si="38"/>
        <v>0</v>
      </c>
      <c r="H25" s="570" t="str">
        <v/>
      </c>
      <c r="I25" s="571" t="str">
        <v/>
      </c>
      <c r="J25" s="571" t="str">
        <v/>
      </c>
      <c r="K25" s="635" t="str">
        <v/>
      </c>
      <c r="L25" s="621" t="b">
        <f t="shared" si="39"/>
        <v>0</v>
      </c>
      <c r="M25" s="621" t="b">
        <v>0</v>
      </c>
      <c r="N25" s="505">
        <f t="shared" si="40"/>
        <v>43</v>
      </c>
      <c r="O25" s="584" t="s">
        <v>29</v>
      </c>
      <c r="P25" s="611" t="str">
        <f>INDEX('World Cup'!$B$13:$AJ$38,16,1+(CODE($B$1)-65)*3)</f>
        <v>Brasilien</v>
      </c>
      <c r="Q25" s="612" t="str">
        <f>INDEX('World Cup'!$B$13:$AJ$38,16,2+(CODE($B$1)-65)*3)</f>
        <v>Haiti</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BrasilienHaiti</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Schottland</v>
      </c>
      <c r="Q26" s="612" t="str">
        <f>INDEX('World Cup'!$B$13:$AJ$38,21,2+(CODE($B$1)-65)*3)</f>
        <v>Brasilien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SchottlandBrasilien</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Marokko</v>
      </c>
      <c r="Q27" s="615" t="str">
        <f>INDEX('World Cup'!$B$13:$AJ$38,26,2+(CODE($B$1)-65)*3)</f>
        <v>Haiti</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MarokkoHaiti</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MarokkoBrasilien</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SchottlandHaiti</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MarokkoSchottland</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HaitiBrasilien</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BrasilienSchottland</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HaitiMarokko</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6E1BF-E641-40F7-BDBE-8C631BCC5890}">
  <sheetPr codeName="Tabelle12"/>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25</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USA</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16</v>
      </c>
      <c r="R5" s="652">
        <f>(1000-Q5)*($L$9&gt;0)</f>
        <v>0</v>
      </c>
      <c r="S5" s="504"/>
      <c r="T5" s="504"/>
      <c r="U5" s="520"/>
      <c r="V5" s="504"/>
      <c r="W5" s="504"/>
      <c r="X5" s="520"/>
      <c r="Y5" s="504"/>
      <c r="Z5" s="504"/>
      <c r="AA5" s="504"/>
      <c r="AB5" s="520"/>
      <c r="AC5" s="504"/>
      <c r="AD5" s="504"/>
      <c r="AE5" s="504"/>
      <c r="AF5" s="520"/>
      <c r="AG5" s="504"/>
      <c r="AH5" s="504"/>
      <c r="AI5" s="504"/>
      <c r="AJ5" s="520"/>
      <c r="AK5" s="623"/>
      <c r="AL5" s="623"/>
      <c r="AM5" s="652"/>
      <c r="AN5" s="622"/>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Paraguay</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40</v>
      </c>
      <c r="R6" s="652">
        <f t="shared" ref="R6:R8" si="3">(1000-Q6)*($L$9&gt;0)</f>
        <v>0</v>
      </c>
      <c r="S6" s="504"/>
      <c r="T6" s="504"/>
      <c r="U6" s="520"/>
      <c r="V6" s="504"/>
      <c r="W6" s="504"/>
      <c r="X6" s="520"/>
      <c r="Y6" s="504"/>
      <c r="Z6" s="504"/>
      <c r="AA6" s="504"/>
      <c r="AB6" s="520"/>
      <c r="AC6" s="504"/>
      <c r="AD6" s="504"/>
      <c r="AE6" s="504"/>
      <c r="AF6" s="520"/>
      <c r="AG6" s="504"/>
      <c r="AH6" s="504"/>
      <c r="AI6" s="504"/>
      <c r="AJ6" s="520"/>
      <c r="AK6" s="623"/>
      <c r="AL6" s="623"/>
      <c r="AM6" s="652"/>
      <c r="AN6" s="622"/>
      <c r="AO6" s="622"/>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Australien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27</v>
      </c>
      <c r="R7" s="652">
        <f t="shared" si="3"/>
        <v>0</v>
      </c>
      <c r="S7" s="504"/>
      <c r="T7" s="504"/>
      <c r="U7" s="520"/>
      <c r="V7" s="504"/>
      <c r="W7" s="504"/>
      <c r="X7" s="520"/>
      <c r="Y7" s="504"/>
      <c r="Z7" s="504"/>
      <c r="AA7" s="504"/>
      <c r="AB7" s="520"/>
      <c r="AC7" s="504"/>
      <c r="AD7" s="504"/>
      <c r="AE7" s="504"/>
      <c r="AF7" s="520"/>
      <c r="AG7" s="504"/>
      <c r="AH7" s="504"/>
      <c r="AI7" s="504"/>
      <c r="AJ7" s="520"/>
      <c r="AK7" s="623"/>
      <c r="AL7" s="623"/>
      <c r="AM7" s="652"/>
      <c r="AN7" s="622"/>
      <c r="AO7" s="622"/>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Türkei</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22</v>
      </c>
      <c r="R8" s="652">
        <f t="shared" si="3"/>
        <v>0</v>
      </c>
      <c r="S8" s="504"/>
      <c r="T8" s="504"/>
      <c r="U8" s="520"/>
      <c r="V8" s="504"/>
      <c r="W8" s="504"/>
      <c r="X8" s="520"/>
      <c r="Y8" s="504"/>
      <c r="Z8" s="504"/>
      <c r="AA8" s="504"/>
      <c r="AB8" s="520"/>
      <c r="AC8" s="504"/>
      <c r="AD8" s="504"/>
      <c r="AE8" s="504"/>
      <c r="AF8" s="520"/>
      <c r="AG8" s="504"/>
      <c r="AH8" s="504"/>
      <c r="AI8" s="504"/>
      <c r="AJ8" s="520"/>
      <c r="AK8" s="623"/>
      <c r="AL8" s="623"/>
      <c r="AM8" s="652"/>
      <c r="AN8" s="622"/>
      <c r="AO8" s="622"/>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USA</v>
      </c>
      <c r="BF13" s="533" t="str">
        <v>Paraguay</v>
      </c>
      <c r="BG13" s="533" t="str">
        <v>Australien</v>
      </c>
      <c r="BH13" s="534" t="str">
        <v>Türkei</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USA</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USA</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Paraguay</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Paraguay</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Australien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Australien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Türkei</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Türkei</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USA</v>
      </c>
      <c r="I21" s="562" t="str">
        <v>Paraguay</v>
      </c>
      <c r="J21" s="562" t="str">
        <v>Australien</v>
      </c>
      <c r="K21" s="563" t="str">
        <v>Türkei</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USA</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16</v>
      </c>
      <c r="O22" s="572" t="s">
        <v>26</v>
      </c>
      <c r="P22" s="608" t="str">
        <f>INDEX('World Cup'!$B$13:$AJ$38,1,1+(CODE($B$1)-65)*3)</f>
        <v>USA</v>
      </c>
      <c r="Q22" s="609" t="str">
        <f>INDEX('World Cup'!$B$13:$AJ$38,1,2+(CODE($B$1)-65)*3)</f>
        <v>Paraguay</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USAParaguay</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Paraguay</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40</v>
      </c>
      <c r="O23" s="584" t="s">
        <v>27</v>
      </c>
      <c r="P23" s="611" t="str">
        <f>INDEX('World Cup'!$B$13:$AJ$38,6,1+(CODE($B$1)-65)*3)</f>
        <v>Australien</v>
      </c>
      <c r="Q23" s="612" t="str">
        <f>INDEX('World Cup'!$B$13:$AJ$38,6,2+(CODE($B$1)-65)*3)</f>
        <v>Türkei</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AustralienTürkei</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Australien</v>
      </c>
      <c r="E24" s="631">
        <f t="shared" si="36"/>
        <v>0</v>
      </c>
      <c r="F24" s="504">
        <f t="shared" si="37"/>
        <v>0</v>
      </c>
      <c r="G24" s="638">
        <f t="shared" si="38"/>
        <v>0</v>
      </c>
      <c r="H24" s="568" t="str">
        <v/>
      </c>
      <c r="I24" s="504" t="str">
        <v/>
      </c>
      <c r="J24" s="569" t="str">
        <v/>
      </c>
      <c r="K24" s="634" t="str">
        <v/>
      </c>
      <c r="L24" s="621" t="b">
        <f t="shared" si="39"/>
        <v>0</v>
      </c>
      <c r="M24" s="621" t="b">
        <v>0</v>
      </c>
      <c r="N24" s="505">
        <f t="shared" si="40"/>
        <v>27</v>
      </c>
      <c r="O24" s="584" t="s">
        <v>28</v>
      </c>
      <c r="P24" s="611" t="str">
        <f>INDEX('World Cup'!$B$13:$AJ$38,11,1+(CODE($B$1)-65)*3)</f>
        <v>USA</v>
      </c>
      <c r="Q24" s="612" t="str">
        <f>INDEX('World Cup'!$B$13:$AJ$38,11,2+(CODE($B$1)-65)*3)</f>
        <v>Australien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USAAustralien</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Türkei</v>
      </c>
      <c r="E25" s="639">
        <f t="shared" si="36"/>
        <v>0</v>
      </c>
      <c r="F25" s="571">
        <f t="shared" si="37"/>
        <v>0</v>
      </c>
      <c r="G25" s="640">
        <f t="shared" si="38"/>
        <v>0</v>
      </c>
      <c r="H25" s="570" t="str">
        <v/>
      </c>
      <c r="I25" s="571" t="str">
        <v/>
      </c>
      <c r="J25" s="571" t="str">
        <v/>
      </c>
      <c r="K25" s="635" t="str">
        <v/>
      </c>
      <c r="L25" s="621" t="b">
        <f t="shared" si="39"/>
        <v>0</v>
      </c>
      <c r="M25" s="621" t="b">
        <v>0</v>
      </c>
      <c r="N25" s="505">
        <f t="shared" si="40"/>
        <v>22</v>
      </c>
      <c r="O25" s="584" t="s">
        <v>29</v>
      </c>
      <c r="P25" s="611" t="str">
        <f>INDEX('World Cup'!$B$13:$AJ$38,16,1+(CODE($B$1)-65)*3)</f>
        <v>Türkei</v>
      </c>
      <c r="Q25" s="612" t="str">
        <f>INDEX('World Cup'!$B$13:$AJ$38,16,2+(CODE($B$1)-65)*3)</f>
        <v>Paraguay</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TürkeiParaguay</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Türkei</v>
      </c>
      <c r="Q26" s="612" t="str">
        <f>INDEX('World Cup'!$B$13:$AJ$38,21,2+(CODE($B$1)-65)*3)</f>
        <v>USA</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TürkeiUSA</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Paraguay</v>
      </c>
      <c r="Q27" s="615" t="str">
        <f>INDEX('World Cup'!$B$13:$AJ$38,26,2+(CODE($B$1)-65)*3)</f>
        <v>Australien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ParaguayAustralien</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ParaguayUSA</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TürkeiAustralien</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AustralienUSA</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ParaguayTürkei</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USATürkei</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AustralienParaguay</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7E71B-384A-402E-9AF2-34D4456E75A3}">
  <sheetPr codeName="Tabelle13"/>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22</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Deutschland</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10</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Curaçao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82</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Elfenbeinküste</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34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Ecuador</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23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Deutschland</v>
      </c>
      <c r="BF13" s="533" t="str">
        <v>Curaçao</v>
      </c>
      <c r="BG13" s="533" t="str">
        <v>Elfenbeinküste</v>
      </c>
      <c r="BH13" s="534" t="str">
        <v>Ecuador</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Deutschland</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Deutschland</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Curaçao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Curaçao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Elfenbeinküste</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Elfenbeinküste</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Ecuador</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Ecuador</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Deutschland</v>
      </c>
      <c r="I21" s="562" t="str">
        <v>Curaçao</v>
      </c>
      <c r="J21" s="562" t="str">
        <v>Elfenbeinküste</v>
      </c>
      <c r="K21" s="563" t="str">
        <v>Ecuador</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Deutschland</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10</v>
      </c>
      <c r="O22" s="572" t="s">
        <v>26</v>
      </c>
      <c r="P22" s="608" t="str">
        <f>INDEX('World Cup'!$B$13:$AJ$38,1,1+(CODE($B$1)-65)*3)</f>
        <v>Deutschland</v>
      </c>
      <c r="Q22" s="609" t="str">
        <f>INDEX('World Cup'!$B$13:$AJ$38,1,2+(CODE($B$1)-65)*3)</f>
        <v>Curaçao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DeutschlandCuraçao</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Curaçao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82</v>
      </c>
      <c r="O23" s="584" t="s">
        <v>27</v>
      </c>
      <c r="P23" s="611" t="str">
        <f>INDEX('World Cup'!$B$13:$AJ$38,6,1+(CODE($B$1)-65)*3)</f>
        <v>Elfenbeinküste</v>
      </c>
      <c r="Q23" s="612" t="str">
        <f>INDEX('World Cup'!$B$13:$AJ$38,6,2+(CODE($B$1)-65)*3)</f>
        <v>Ecuador</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ElfenbeinküsteEcuador</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Elfenbeinküste</v>
      </c>
      <c r="E24" s="631">
        <f t="shared" si="36"/>
        <v>0</v>
      </c>
      <c r="F24" s="504">
        <f t="shared" si="37"/>
        <v>0</v>
      </c>
      <c r="G24" s="638">
        <f t="shared" si="38"/>
        <v>0</v>
      </c>
      <c r="H24" s="568" t="str">
        <v/>
      </c>
      <c r="I24" s="504" t="str">
        <v/>
      </c>
      <c r="J24" s="569" t="str">
        <v/>
      </c>
      <c r="K24" s="634" t="str">
        <v/>
      </c>
      <c r="L24" s="621" t="b">
        <f t="shared" si="39"/>
        <v>0</v>
      </c>
      <c r="M24" s="621" t="b">
        <v>0</v>
      </c>
      <c r="N24" s="505">
        <f t="shared" si="40"/>
        <v>34</v>
      </c>
      <c r="O24" s="584" t="s">
        <v>28</v>
      </c>
      <c r="P24" s="611" t="str">
        <f>INDEX('World Cup'!$B$13:$AJ$38,11,1+(CODE($B$1)-65)*3)</f>
        <v>Deutschland</v>
      </c>
      <c r="Q24" s="612" t="str">
        <f>INDEX('World Cup'!$B$13:$AJ$38,11,2+(CODE($B$1)-65)*3)</f>
        <v>Elfenbeinküste</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DeutschlandElfenbeinküste</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Ecuador</v>
      </c>
      <c r="E25" s="639">
        <f t="shared" si="36"/>
        <v>0</v>
      </c>
      <c r="F25" s="571">
        <f t="shared" si="37"/>
        <v>0</v>
      </c>
      <c r="G25" s="640">
        <f t="shared" si="38"/>
        <v>0</v>
      </c>
      <c r="H25" s="570" t="str">
        <v/>
      </c>
      <c r="I25" s="571" t="str">
        <v/>
      </c>
      <c r="J25" s="571" t="str">
        <v/>
      </c>
      <c r="K25" s="635" t="str">
        <v/>
      </c>
      <c r="L25" s="621" t="b">
        <f t="shared" si="39"/>
        <v>0</v>
      </c>
      <c r="M25" s="621" t="b">
        <v>0</v>
      </c>
      <c r="N25" s="505">
        <f t="shared" si="40"/>
        <v>23</v>
      </c>
      <c r="O25" s="584" t="s">
        <v>29</v>
      </c>
      <c r="P25" s="611" t="str">
        <f>INDEX('World Cup'!$B$13:$AJ$38,16,1+(CODE($B$1)-65)*3)</f>
        <v>Ecuador</v>
      </c>
      <c r="Q25" s="612" t="str">
        <f>INDEX('World Cup'!$B$13:$AJ$38,16,2+(CODE($B$1)-65)*3)</f>
        <v>Curaçao</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EcuadorCuraçao</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Curaçao</v>
      </c>
      <c r="Q26" s="612" t="str">
        <f>INDEX('World Cup'!$B$13:$AJ$38,21,2+(CODE($B$1)-65)*3)</f>
        <v>Elfenbeinküste</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CuraçaoElfenbeinküste</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Ecuador</v>
      </c>
      <c r="Q27" s="615" t="str">
        <f>INDEX('World Cup'!$B$13:$AJ$38,26,2+(CODE($B$1)-65)*3)</f>
        <v>Deutschland</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EcuadorDeutschland</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CuraçaoDeutschland</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EcuadorElfenbeinküste</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ElfenbeinküsteDeutschland</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CuraçaoEcuador</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ElfenbeinküsteCuraçao</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DeutschlandEcuador</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57FE6-E2F1-40D5-9BCD-3F3EA645F5B8}">
  <sheetPr codeName="Tabelle20"/>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23</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Niederlande</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7</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Japan</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18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Schweden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38</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Tunesien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44</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Niederlande</v>
      </c>
      <c r="BF13" s="533" t="str">
        <v>Japan</v>
      </c>
      <c r="BG13" s="533" t="str">
        <v>Schweden</v>
      </c>
      <c r="BH13" s="534" t="str">
        <v>Tunesien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Niederlande</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Niederlande</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Japan</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Japan</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Schweden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Schweden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Tunesien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Tunesien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Niederlande</v>
      </c>
      <c r="I21" s="562" t="str">
        <v>Japan</v>
      </c>
      <c r="J21" s="562" t="str">
        <v>Schweden</v>
      </c>
      <c r="K21" s="563" t="str">
        <v>Tunesien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Niederlande</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7</v>
      </c>
      <c r="O22" s="572" t="s">
        <v>26</v>
      </c>
      <c r="P22" s="608" t="str">
        <f>INDEX('World Cup'!$B$13:$AJ$38,1,1+(CODE($B$1)-65)*3)</f>
        <v>Niederlande</v>
      </c>
      <c r="Q22" s="609" t="str">
        <f>INDEX('World Cup'!$B$13:$AJ$38,1,2+(CODE($B$1)-65)*3)</f>
        <v>Japan</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NiederlandeJapan</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Japan</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18</v>
      </c>
      <c r="O23" s="584" t="s">
        <v>27</v>
      </c>
      <c r="P23" s="611" t="str">
        <f>INDEX('World Cup'!$B$13:$AJ$38,6,1+(CODE($B$1)-65)*3)</f>
        <v>Schweden</v>
      </c>
      <c r="Q23" s="612" t="str">
        <f>INDEX('World Cup'!$B$13:$AJ$38,6,2+(CODE($B$1)-65)*3)</f>
        <v>Tunesien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SchwedenTunesien</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Schweden</v>
      </c>
      <c r="E24" s="631">
        <f t="shared" si="36"/>
        <v>0</v>
      </c>
      <c r="F24" s="504">
        <f t="shared" si="37"/>
        <v>0</v>
      </c>
      <c r="G24" s="638">
        <f t="shared" si="38"/>
        <v>0</v>
      </c>
      <c r="H24" s="568" t="str">
        <v/>
      </c>
      <c r="I24" s="504" t="str">
        <v/>
      </c>
      <c r="J24" s="569" t="str">
        <v/>
      </c>
      <c r="K24" s="634" t="str">
        <v/>
      </c>
      <c r="L24" s="621" t="b">
        <f t="shared" si="39"/>
        <v>0</v>
      </c>
      <c r="M24" s="621" t="b">
        <v>0</v>
      </c>
      <c r="N24" s="505">
        <f t="shared" si="40"/>
        <v>38</v>
      </c>
      <c r="O24" s="584" t="s">
        <v>28</v>
      </c>
      <c r="P24" s="611" t="str">
        <f>INDEX('World Cup'!$B$13:$AJ$38,11,1+(CODE($B$1)-65)*3)</f>
        <v>Niederlande</v>
      </c>
      <c r="Q24" s="612" t="str">
        <f>INDEX('World Cup'!$B$13:$AJ$38,11,2+(CODE($B$1)-65)*3)</f>
        <v>Schweden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NiederlandeSchweden</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Tunesien</v>
      </c>
      <c r="E25" s="639">
        <f t="shared" si="36"/>
        <v>0</v>
      </c>
      <c r="F25" s="571">
        <f t="shared" si="37"/>
        <v>0</v>
      </c>
      <c r="G25" s="640">
        <f t="shared" si="38"/>
        <v>0</v>
      </c>
      <c r="H25" s="570" t="str">
        <v/>
      </c>
      <c r="I25" s="571" t="str">
        <v/>
      </c>
      <c r="J25" s="571" t="str">
        <v/>
      </c>
      <c r="K25" s="635" t="str">
        <v/>
      </c>
      <c r="L25" s="621" t="b">
        <f t="shared" si="39"/>
        <v>0</v>
      </c>
      <c r="M25" s="621" t="b">
        <v>0</v>
      </c>
      <c r="N25" s="505">
        <f t="shared" si="40"/>
        <v>44</v>
      </c>
      <c r="O25" s="584" t="s">
        <v>29</v>
      </c>
      <c r="P25" s="611" t="str">
        <f>INDEX('World Cup'!$B$13:$AJ$38,16,1+(CODE($B$1)-65)*3)</f>
        <v>Tunesien</v>
      </c>
      <c r="Q25" s="612" t="str">
        <f>INDEX('World Cup'!$B$13:$AJ$38,16,2+(CODE($B$1)-65)*3)</f>
        <v>Japan</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TunesienJapan</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Japan</v>
      </c>
      <c r="Q26" s="612" t="str">
        <f>INDEX('World Cup'!$B$13:$AJ$38,21,2+(CODE($B$1)-65)*3)</f>
        <v>Schweden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JapanSchweden</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Tunesien</v>
      </c>
      <c r="Q27" s="615" t="str">
        <f>INDEX('World Cup'!$B$13:$AJ$38,26,2+(CODE($B$1)-65)*3)</f>
        <v>Niederlande</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TunesienNiederlande</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JapanNiederlande</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TunesienSchweden</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SchwedenNiederlande</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JapanTunesien</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SchwedenJapan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NiederlandeTunesien</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DE7C5-1E17-4C8D-84EE-6D2FFD149B35}">
  <sheetPr codeName="Tabelle21"/>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270</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Belgien</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9</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Ägypten</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29</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IR Iran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21</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Neuseeland</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85</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Belgien</v>
      </c>
      <c r="BF13" s="533" t="str">
        <v>Ägypten</v>
      </c>
      <c r="BG13" s="533" t="str">
        <v>IR Iran</v>
      </c>
      <c r="BH13" s="534" t="str">
        <v>Neuseeland</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Belgien</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Belgien</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Ägypten</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Ägypten</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IR Iran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IR Iran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Neuseeland</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Neuseeland</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Belgien</v>
      </c>
      <c r="I21" s="562" t="str">
        <v>Ägypten</v>
      </c>
      <c r="J21" s="562" t="str">
        <v>IR Iran</v>
      </c>
      <c r="K21" s="563" t="str">
        <v>Neuseeland</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Belgien</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9</v>
      </c>
      <c r="O22" s="572" t="s">
        <v>26</v>
      </c>
      <c r="P22" s="608" t="str">
        <f>INDEX('World Cup'!$B$13:$AJ$38,1,1+(CODE($B$1)-65)*3)</f>
        <v>Belgien</v>
      </c>
      <c r="Q22" s="609" t="str">
        <f>INDEX('World Cup'!$B$13:$AJ$38,1,2+(CODE($B$1)-65)*3)</f>
        <v>Ägypten</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BelgienÄgypten</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Ägypten</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29</v>
      </c>
      <c r="O23" s="584" t="s">
        <v>27</v>
      </c>
      <c r="P23" s="611" t="str">
        <f>INDEX('World Cup'!$B$13:$AJ$38,6,1+(CODE($B$1)-65)*3)</f>
        <v>IR Iran</v>
      </c>
      <c r="Q23" s="612" t="str">
        <f>INDEX('World Cup'!$B$13:$AJ$38,6,2+(CODE($B$1)-65)*3)</f>
        <v>Neuseeland</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IR IranNeuseeland</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IR Iran</v>
      </c>
      <c r="E24" s="631">
        <f t="shared" si="36"/>
        <v>0</v>
      </c>
      <c r="F24" s="504">
        <f t="shared" si="37"/>
        <v>0</v>
      </c>
      <c r="G24" s="638">
        <f t="shared" si="38"/>
        <v>0</v>
      </c>
      <c r="H24" s="568" t="str">
        <v/>
      </c>
      <c r="I24" s="504" t="str">
        <v/>
      </c>
      <c r="J24" s="569" t="str">
        <v/>
      </c>
      <c r="K24" s="634" t="str">
        <v/>
      </c>
      <c r="L24" s="621" t="b">
        <f t="shared" si="39"/>
        <v>0</v>
      </c>
      <c r="M24" s="621" t="b">
        <v>0</v>
      </c>
      <c r="N24" s="505">
        <f t="shared" si="40"/>
        <v>21</v>
      </c>
      <c r="O24" s="584" t="s">
        <v>28</v>
      </c>
      <c r="P24" s="611" t="str">
        <f>INDEX('World Cup'!$B$13:$AJ$38,11,1+(CODE($B$1)-65)*3)</f>
        <v>Belgien</v>
      </c>
      <c r="Q24" s="612" t="str">
        <f>INDEX('World Cup'!$B$13:$AJ$38,11,2+(CODE($B$1)-65)*3)</f>
        <v>IR Iran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BelgienIR Iran</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Neuseeland</v>
      </c>
      <c r="E25" s="639">
        <f t="shared" si="36"/>
        <v>0</v>
      </c>
      <c r="F25" s="571">
        <f t="shared" si="37"/>
        <v>0</v>
      </c>
      <c r="G25" s="640">
        <f t="shared" si="38"/>
        <v>0</v>
      </c>
      <c r="H25" s="570" t="str">
        <v/>
      </c>
      <c r="I25" s="571" t="str">
        <v/>
      </c>
      <c r="J25" s="571" t="str">
        <v/>
      </c>
      <c r="K25" s="635" t="str">
        <v/>
      </c>
      <c r="L25" s="621" t="b">
        <f t="shared" si="39"/>
        <v>0</v>
      </c>
      <c r="M25" s="621" t="b">
        <v>0</v>
      </c>
      <c r="N25" s="505">
        <f t="shared" si="40"/>
        <v>85</v>
      </c>
      <c r="O25" s="584" t="s">
        <v>29</v>
      </c>
      <c r="P25" s="611" t="str">
        <f>INDEX('World Cup'!$B$13:$AJ$38,16,1+(CODE($B$1)-65)*3)</f>
        <v>Neuseeland</v>
      </c>
      <c r="Q25" s="612" t="str">
        <f>INDEX('World Cup'!$B$13:$AJ$38,16,2+(CODE($B$1)-65)*3)</f>
        <v>Ägypten</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NeuseelandÄgypten</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Ägypten</v>
      </c>
      <c r="Q26" s="612" t="str">
        <f>INDEX('World Cup'!$B$13:$AJ$38,21,2+(CODE($B$1)-65)*3)</f>
        <v>IR Iran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ÄgyptenIR Iran</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Neuseeland</v>
      </c>
      <c r="Q27" s="615" t="str">
        <f>INDEX('World Cup'!$B$13:$AJ$38,26,2+(CODE($B$1)-65)*3)</f>
        <v>Belgien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NeuseelandBelgien</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ÄgyptenBelgien</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NeuseelandIR Iran</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IR IranBelgien</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ÄgyptenNeuseeland</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IR IranÄgypten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BelgienNeuseeland</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8E7E3-64EB-464A-84FB-927E0CCFDC4B}">
  <sheetPr codeName="Tabelle22"/>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31</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Spanien</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2</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Kap Verde</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69</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Saudiarabien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61</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Uruguay</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17</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Spanien</v>
      </c>
      <c r="BF13" s="533" t="str">
        <v>Kap Verde</v>
      </c>
      <c r="BG13" s="533" t="str">
        <v>Saudiarabien</v>
      </c>
      <c r="BH13" s="534" t="str">
        <v>Uruguay</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Spanien</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Spanien</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Kap Verde</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Kap Verde</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Saudiarabien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Saudiarabien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Uruguay</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Uruguay</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Spanien</v>
      </c>
      <c r="I21" s="562" t="str">
        <v>Kap Verde</v>
      </c>
      <c r="J21" s="562" t="str">
        <v>Saudiarabien</v>
      </c>
      <c r="K21" s="563" t="str">
        <v>Uruguay</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Spanien</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2</v>
      </c>
      <c r="O22" s="572" t="s">
        <v>26</v>
      </c>
      <c r="P22" s="608" t="str">
        <f>INDEX('World Cup'!$B$13:$AJ$38,1,1+(CODE($B$1)-65)*3)</f>
        <v>Spanien</v>
      </c>
      <c r="Q22" s="609" t="str">
        <f>INDEX('World Cup'!$B$13:$AJ$38,1,2+(CODE($B$1)-65)*3)</f>
        <v>Kap Verde</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SpanienKap Verde</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Kap Verde</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69</v>
      </c>
      <c r="O23" s="584" t="s">
        <v>27</v>
      </c>
      <c r="P23" s="611" t="str">
        <f>INDEX('World Cup'!$B$13:$AJ$38,6,1+(CODE($B$1)-65)*3)</f>
        <v>Saudiarabien</v>
      </c>
      <c r="Q23" s="612" t="str">
        <f>INDEX('World Cup'!$B$13:$AJ$38,6,2+(CODE($B$1)-65)*3)</f>
        <v>Uruguay</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SaudiarabienUruguay</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Saudiarabien</v>
      </c>
      <c r="E24" s="631">
        <f t="shared" si="36"/>
        <v>0</v>
      </c>
      <c r="F24" s="504">
        <f t="shared" si="37"/>
        <v>0</v>
      </c>
      <c r="G24" s="638">
        <f t="shared" si="38"/>
        <v>0</v>
      </c>
      <c r="H24" s="568" t="str">
        <v/>
      </c>
      <c r="I24" s="504" t="str">
        <v/>
      </c>
      <c r="J24" s="569" t="str">
        <v/>
      </c>
      <c r="K24" s="634" t="str">
        <v/>
      </c>
      <c r="L24" s="621" t="b">
        <f t="shared" si="39"/>
        <v>0</v>
      </c>
      <c r="M24" s="621" t="b">
        <v>0</v>
      </c>
      <c r="N24" s="505">
        <f t="shared" si="40"/>
        <v>61</v>
      </c>
      <c r="O24" s="584" t="s">
        <v>28</v>
      </c>
      <c r="P24" s="611" t="str">
        <f>INDEX('World Cup'!$B$13:$AJ$38,11,1+(CODE($B$1)-65)*3)</f>
        <v>Spanien</v>
      </c>
      <c r="Q24" s="612" t="str">
        <f>INDEX('World Cup'!$B$13:$AJ$38,11,2+(CODE($B$1)-65)*3)</f>
        <v>Saudiarabien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SpanienSaudiarabien</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Uruguay</v>
      </c>
      <c r="E25" s="639">
        <f t="shared" si="36"/>
        <v>0</v>
      </c>
      <c r="F25" s="571">
        <f t="shared" si="37"/>
        <v>0</v>
      </c>
      <c r="G25" s="640">
        <f t="shared" si="38"/>
        <v>0</v>
      </c>
      <c r="H25" s="570" t="str">
        <v/>
      </c>
      <c r="I25" s="571" t="str">
        <v/>
      </c>
      <c r="J25" s="571" t="str">
        <v/>
      </c>
      <c r="K25" s="635" t="str">
        <v/>
      </c>
      <c r="L25" s="621" t="b">
        <f t="shared" si="39"/>
        <v>0</v>
      </c>
      <c r="M25" s="621" t="b">
        <v>0</v>
      </c>
      <c r="N25" s="505">
        <f t="shared" si="40"/>
        <v>17</v>
      </c>
      <c r="O25" s="584" t="s">
        <v>29</v>
      </c>
      <c r="P25" s="611" t="str">
        <f>INDEX('World Cup'!$B$13:$AJ$38,16,1+(CODE($B$1)-65)*3)</f>
        <v>Uruguay</v>
      </c>
      <c r="Q25" s="612" t="str">
        <f>INDEX('World Cup'!$B$13:$AJ$38,16,2+(CODE($B$1)-65)*3)</f>
        <v>Kap Verde</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UruguayKap Verde</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Kap Verde</v>
      </c>
      <c r="Q26" s="612" t="str">
        <f>INDEX('World Cup'!$B$13:$AJ$38,21,2+(CODE($B$1)-65)*3)</f>
        <v>Saudiarabien</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Kap VerdeSaudiarabien</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Uruguay</v>
      </c>
      <c r="Q27" s="615" t="str">
        <f>INDEX('World Cup'!$B$13:$AJ$38,26,2+(CODE($B$1)-65)*3)</f>
        <v>Spanien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UruguaySpanien</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Kap VerdeSpanien</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UruguaySaudiarabien</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SaudiarabienSpanien</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Kap VerdeUruguay</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SaudiarabienKap Verde</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SpanienUruguay</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B289-9DD5-49DB-B2C5-D0BDEF65E2C2}">
  <sheetPr codeName="Tabelle24"/>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32</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Frankreich</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1</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Senegal</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14</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Irak</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57</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Norwegen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31</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Frankreich</v>
      </c>
      <c r="BF13" s="533" t="str">
        <v>Senegal</v>
      </c>
      <c r="BG13" s="533" t="str">
        <v>Irak</v>
      </c>
      <c r="BH13" s="534" t="str">
        <v>Norwegen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Frankreich</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Frankreich</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Senegal</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Senegal</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Irak</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Irak</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Norwegen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Norwegen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Frankreich</v>
      </c>
      <c r="I21" s="562" t="str">
        <v>Senegal</v>
      </c>
      <c r="J21" s="562" t="str">
        <v>Irak</v>
      </c>
      <c r="K21" s="563" t="str">
        <v>Norwegen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Frankreich</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1</v>
      </c>
      <c r="O22" s="572" t="s">
        <v>26</v>
      </c>
      <c r="P22" s="608" t="str">
        <f>INDEX('World Cup'!$B$13:$AJ$38,1,1+(CODE($B$1)-65)*3)</f>
        <v>Frankreich</v>
      </c>
      <c r="Q22" s="609" t="str">
        <f>INDEX('World Cup'!$B$13:$AJ$38,1,2+(CODE($B$1)-65)*3)</f>
        <v>Senegal</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FrankreichSenegal</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Senegal</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14</v>
      </c>
      <c r="O23" s="584" t="s">
        <v>27</v>
      </c>
      <c r="P23" s="611" t="str">
        <f>INDEX('World Cup'!$B$13:$AJ$38,6,1+(CODE($B$1)-65)*3)</f>
        <v>Irak</v>
      </c>
      <c r="Q23" s="612" t="str">
        <f>INDEX('World Cup'!$B$13:$AJ$38,6,2+(CODE($B$1)-65)*3)</f>
        <v>Norwegen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IrakNorwegen</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Irak</v>
      </c>
      <c r="E24" s="631">
        <f t="shared" si="36"/>
        <v>0</v>
      </c>
      <c r="F24" s="504">
        <f t="shared" si="37"/>
        <v>0</v>
      </c>
      <c r="G24" s="638">
        <f t="shared" si="38"/>
        <v>0</v>
      </c>
      <c r="H24" s="568" t="str">
        <v/>
      </c>
      <c r="I24" s="504" t="str">
        <v/>
      </c>
      <c r="J24" s="569" t="str">
        <v/>
      </c>
      <c r="K24" s="634" t="str">
        <v/>
      </c>
      <c r="L24" s="621" t="b">
        <f t="shared" si="39"/>
        <v>0</v>
      </c>
      <c r="M24" s="621" t="b">
        <v>0</v>
      </c>
      <c r="N24" s="505">
        <f t="shared" si="40"/>
        <v>57</v>
      </c>
      <c r="O24" s="584" t="s">
        <v>28</v>
      </c>
      <c r="P24" s="611" t="str">
        <f>INDEX('World Cup'!$B$13:$AJ$38,11,1+(CODE($B$1)-65)*3)</f>
        <v>Frankreich</v>
      </c>
      <c r="Q24" s="612" t="str">
        <f>INDEX('World Cup'!$B$13:$AJ$38,11,2+(CODE($B$1)-65)*3)</f>
        <v>Irak</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FrankreichIrak</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Norwegen</v>
      </c>
      <c r="E25" s="639">
        <f t="shared" si="36"/>
        <v>0</v>
      </c>
      <c r="F25" s="571">
        <f t="shared" si="37"/>
        <v>0</v>
      </c>
      <c r="G25" s="640">
        <f t="shared" si="38"/>
        <v>0</v>
      </c>
      <c r="H25" s="570" t="str">
        <v/>
      </c>
      <c r="I25" s="571" t="str">
        <v/>
      </c>
      <c r="J25" s="571" t="str">
        <v/>
      </c>
      <c r="K25" s="635" t="str">
        <v/>
      </c>
      <c r="L25" s="621" t="b">
        <f t="shared" si="39"/>
        <v>0</v>
      </c>
      <c r="M25" s="621" t="b">
        <v>0</v>
      </c>
      <c r="N25" s="505">
        <f t="shared" si="40"/>
        <v>31</v>
      </c>
      <c r="O25" s="584" t="s">
        <v>29</v>
      </c>
      <c r="P25" s="611" t="str">
        <f>INDEX('World Cup'!$B$13:$AJ$38,16,1+(CODE($B$1)-65)*3)</f>
        <v>Norwegen</v>
      </c>
      <c r="Q25" s="612" t="str">
        <f>INDEX('World Cup'!$B$13:$AJ$38,16,2+(CODE($B$1)-65)*3)</f>
        <v>Senegal</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NorwegenSenegal</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Norwegen</v>
      </c>
      <c r="Q26" s="612" t="str">
        <f>INDEX('World Cup'!$B$13:$AJ$38,21,2+(CODE($B$1)-65)*3)</f>
        <v>Frankreich</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NorwegenFrankreich</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Senegal</v>
      </c>
      <c r="Q27" s="615" t="str">
        <f>INDEX('World Cup'!$B$13:$AJ$38,26,2+(CODE($B$1)-65)*3)</f>
        <v>Irak</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SenegalIrak</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SenegalFrankreich</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NorwegenIrak</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IrakFrankreich</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SenegalNorwegen</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FrankreichNorwegen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IrakSenegal</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931CB-D200-4F83-8430-DA901144E0F9}">
  <sheetPr codeName="Tabelle16"/>
  <dimension ref="A1:O171"/>
  <sheetViews>
    <sheetView showGridLines="0" showRowColHeaders="0" workbookViewId="0">
      <selection activeCell="M7" sqref="M7"/>
    </sheetView>
  </sheetViews>
  <sheetFormatPr baseColWidth="10" defaultColWidth="0" defaultRowHeight="15" zeroHeight="1" x14ac:dyDescent="0.25"/>
  <cols>
    <col min="1" max="1" width="11.42578125" customWidth="1"/>
    <col min="2" max="2" width="21.5703125" style="422" customWidth="1"/>
    <col min="3" max="3" width="10.28515625" style="4" customWidth="1"/>
    <col min="4" max="4" width="18" style="4" customWidth="1"/>
    <col min="5" max="5" width="19" style="4" customWidth="1"/>
    <col min="6" max="6" width="9.28515625" style="4" customWidth="1"/>
    <col min="7" max="7" width="8.7109375" style="212" customWidth="1"/>
    <col min="8" max="8" width="9.85546875" style="212" customWidth="1"/>
    <col min="9" max="9" width="22" style="212" customWidth="1"/>
    <col min="10" max="10" width="12.7109375" customWidth="1"/>
    <col min="11" max="12" width="11.42578125" customWidth="1"/>
    <col min="13" max="13" width="5.7109375" customWidth="1"/>
    <col min="14" max="14" width="19.28515625" customWidth="1"/>
    <col min="15" max="15" width="11.42578125" customWidth="1"/>
    <col min="16" max="16384" width="11.42578125" hidden="1"/>
  </cols>
  <sheetData>
    <row r="1" spans="1:14" ht="28.5" x14ac:dyDescent="0.45">
      <c r="A1" s="391"/>
      <c r="B1" s="739" t="str">
        <f>Sprache!$E$250</f>
        <v>Täglicher Spielplan</v>
      </c>
      <c r="C1" s="739"/>
      <c r="D1" s="739"/>
      <c r="E1" s="739"/>
      <c r="F1" s="739"/>
      <c r="G1" s="739"/>
      <c r="H1" s="739"/>
      <c r="I1" s="466"/>
    </row>
    <row r="2" spans="1:14" ht="29.25" thickBot="1" x14ac:dyDescent="0.5">
      <c r="A2" s="392"/>
      <c r="B2" s="213"/>
      <c r="C2" s="213"/>
      <c r="D2" s="213"/>
      <c r="E2" s="213"/>
      <c r="F2" s="213"/>
      <c r="G2" s="213"/>
      <c r="H2" s="213"/>
      <c r="I2" s="213"/>
      <c r="M2" s="740" t="str">
        <f>Sprache!$E$261</f>
        <v>Favoriten einfärben</v>
      </c>
      <c r="N2" s="740"/>
    </row>
    <row r="3" spans="1:14" ht="16.5" thickTop="1" thickBot="1" x14ac:dyDescent="0.3">
      <c r="A3" s="392"/>
      <c r="B3" s="393" t="str">
        <f>Sprache!$E$260</f>
        <v>Datum</v>
      </c>
      <c r="C3" s="394" t="str">
        <f>Sprache!$E$253</f>
        <v>Zeit</v>
      </c>
      <c r="D3" s="394" t="str">
        <f>Sprache!$E$254</f>
        <v>Team 1</v>
      </c>
      <c r="E3" s="478" t="str">
        <f>Sprache!$E$255</f>
        <v>Team 2</v>
      </c>
      <c r="F3" s="479" t="str">
        <f>Sprache!$E$251</f>
        <v>Spiel Nr.</v>
      </c>
      <c r="G3" s="741" t="str">
        <f>Sprache!$E$252</f>
        <v>Teams</v>
      </c>
      <c r="H3" s="741"/>
      <c r="I3" s="479" t="str">
        <f>Sprache!$E$185</f>
        <v>Austragungsort</v>
      </c>
      <c r="J3" s="480" t="str">
        <f>Sprache!$E$184</f>
        <v>Fernsehsender</v>
      </c>
      <c r="K3" s="467"/>
      <c r="M3" s="742" t="str">
        <f>Sprache!$E$262</f>
        <v>Hier den Gruppencode eingeben</v>
      </c>
      <c r="N3" s="742"/>
    </row>
    <row r="4" spans="1:14" x14ac:dyDescent="0.25">
      <c r="A4" s="4"/>
      <c r="B4" s="395">
        <f>INDEX(Matches!$B$4:$J$113,MATCH($F4,Matches!$B$4:$B$113,0),5)</f>
        <v>46184.875</v>
      </c>
      <c r="C4" s="396">
        <f>INDEX(Matches!$B$4:$J$113,MATCH($F4,Matches!$B$4:$B$113,0),5)</f>
        <v>46184.875</v>
      </c>
      <c r="D4" s="397" t="str">
        <f>INDEX(Matches!$B$4:$J$113,MATCH($F4,Matches!$B$4:$B$113,0),8)</f>
        <v>Mexiko</v>
      </c>
      <c r="E4" s="397" t="str">
        <f>INDEX(Matches!$B$4:$J$113,MATCH($F4,Matches!$B$4:$B$113,0),9)</f>
        <v>Südafrika</v>
      </c>
      <c r="F4" s="398">
        <v>1</v>
      </c>
      <c r="G4" s="399" t="str">
        <f>INDEX(Matches!$B$4:$J$113,MATCH($F4,Matches!$B$4:$B$113,0),2)</f>
        <v>A1</v>
      </c>
      <c r="H4" s="399" t="str">
        <f>INDEX(Matches!$B$4:$J$113,MATCH($F4,Matches!$B$4:$B$113,0),3)</f>
        <v>A2</v>
      </c>
      <c r="I4" s="399" t="str">
        <f>IFERROR(VLOOKUP($F4,Matches!$B$4:$H$113,7,0),"")</f>
        <v>Mexico City</v>
      </c>
      <c r="J4" s="648"/>
      <c r="K4" s="649"/>
      <c r="M4" s="742"/>
      <c r="N4" s="742"/>
    </row>
    <row r="5" spans="1:14" x14ac:dyDescent="0.25">
      <c r="A5" s="4"/>
      <c r="B5" s="395">
        <f>INDEX(Matches!$B$4:$J$113,MATCH($F5,Matches!$B$4:$B$113,0),5)</f>
        <v>46185.166666666664</v>
      </c>
      <c r="C5" s="396">
        <f>INDEX(Matches!$B$4:$J$113,MATCH($F5,Matches!$B$4:$B$113,0),5)</f>
        <v>46185.166666666664</v>
      </c>
      <c r="D5" s="397" t="str">
        <f>INDEX(Matches!$B$4:$J$113,MATCH($F5,Matches!$B$4:$B$113,0),8)</f>
        <v>Südkorea</v>
      </c>
      <c r="E5" s="397" t="str">
        <f>INDEX(Matches!$B$4:$J$113,MATCH($F5,Matches!$B$4:$B$113,0),9)</f>
        <v>Tschechien</v>
      </c>
      <c r="F5" s="400">
        <v>2</v>
      </c>
      <c r="G5" s="399" t="str">
        <f>INDEX(Matches!$B$4:$J$113,MATCH($F5,Matches!$B$4:$B$113,0),2)</f>
        <v>A3</v>
      </c>
      <c r="H5" s="399" t="str">
        <f>INDEX(Matches!$B$4:$J$113,MATCH($F5,Matches!$B$4:$B$113,0),3)</f>
        <v>A4</v>
      </c>
      <c r="I5" s="399" t="str">
        <f>IFERROR(VLOOKUP($F5,Matches!$B$4:$H$113,7,0),"")</f>
        <v>Guadalajara</v>
      </c>
      <c r="J5" s="648"/>
      <c r="K5" s="649"/>
      <c r="M5" s="742"/>
      <c r="N5" s="742"/>
    </row>
    <row r="6" spans="1:14" ht="15.75" thickBot="1" x14ac:dyDescent="0.3">
      <c r="A6" s="4"/>
      <c r="B6" s="401"/>
      <c r="C6" s="402"/>
      <c r="D6" s="403"/>
      <c r="E6" s="403"/>
      <c r="F6" s="404"/>
      <c r="G6" s="405"/>
      <c r="H6" s="405"/>
      <c r="I6" s="405"/>
      <c r="J6" s="405"/>
      <c r="K6" s="406"/>
      <c r="M6" s="407" t="s">
        <v>1616</v>
      </c>
    </row>
    <row r="7" spans="1:14" x14ac:dyDescent="0.25">
      <c r="A7" s="4"/>
      <c r="B7" s="395">
        <f>INDEX(Matches!$B$4:$J$113,MATCH($F7,Matches!$B$4:$B$113,0),5)</f>
        <v>46185.875</v>
      </c>
      <c r="C7" s="396">
        <f>INDEX(Matches!$B$4:$J$113,MATCH($F7,Matches!$B$4:$B$113,0),5)</f>
        <v>46185.875</v>
      </c>
      <c r="D7" s="397" t="str">
        <f>INDEX(Matches!$B$4:$J$113,MATCH($F7,Matches!$B$4:$B$113,0),8)</f>
        <v>Kanada</v>
      </c>
      <c r="E7" s="397" t="str">
        <f>INDEX(Matches!$B$4:$J$113,MATCH($F7,Matches!$B$4:$B$113,0),9)</f>
        <v>Bosnien/Herzeg.</v>
      </c>
      <c r="F7" s="400">
        <v>3</v>
      </c>
      <c r="G7" s="399" t="str">
        <f>INDEX(Matches!$B$4:$J$113,MATCH($F7,Matches!$B$4:$B$113,0),2)</f>
        <v>B1</v>
      </c>
      <c r="H7" s="399" t="str">
        <f>INDEX(Matches!$B$4:$J$113,MATCH($F7,Matches!$B$4:$B$113,0),3)</f>
        <v>B2</v>
      </c>
      <c r="I7" s="399" t="str">
        <f>IFERROR(VLOOKUP($F7,Matches!$B$4:$H$113,7,0),"")</f>
        <v>Toronto</v>
      </c>
      <c r="J7" s="648"/>
      <c r="K7" s="649"/>
      <c r="M7" s="408"/>
      <c r="N7" s="409" t="str">
        <f>IFERROR(VLOOKUP(M7,Groups!$B$7:$D$65,3,0),"")</f>
        <v/>
      </c>
    </row>
    <row r="8" spans="1:14" x14ac:dyDescent="0.25">
      <c r="A8" s="4"/>
      <c r="B8" s="395">
        <f>INDEX(Matches!$B$4:$J$113,MATCH($F8,Matches!$B$4:$B$113,0),5)</f>
        <v>46186.125</v>
      </c>
      <c r="C8" s="396">
        <f>INDEX(Matches!$B$4:$J$113,MATCH($F8,Matches!$B$4:$B$113,0),5)</f>
        <v>46186.125</v>
      </c>
      <c r="D8" s="397" t="str">
        <f>INDEX(Matches!$B$4:$J$113,MATCH($F8,Matches!$B$4:$B$113,0),8)</f>
        <v>USA</v>
      </c>
      <c r="E8" s="397" t="str">
        <f>INDEX(Matches!$B$4:$J$113,MATCH($F8,Matches!$B$4:$B$113,0),9)</f>
        <v>Paraguay</v>
      </c>
      <c r="F8" s="400">
        <v>4</v>
      </c>
      <c r="G8" s="399" t="str">
        <f>INDEX(Matches!$B$4:$J$113,MATCH($F8,Matches!$B$4:$B$113,0),2)</f>
        <v>D1</v>
      </c>
      <c r="H8" s="399" t="str">
        <f>INDEX(Matches!$B$4:$J$113,MATCH($F8,Matches!$B$4:$B$113,0),3)</f>
        <v>D2</v>
      </c>
      <c r="I8" s="399" t="str">
        <f>IFERROR(VLOOKUP($F8,Matches!$B$4:$H$113,7,0),"")</f>
        <v>Los Angeles</v>
      </c>
      <c r="J8" s="648"/>
      <c r="K8" s="649"/>
      <c r="M8" s="410"/>
      <c r="N8" s="411" t="str">
        <f>IFERROR(VLOOKUP(M8,Groups!$B$7:$D$65,3,0),"")</f>
        <v/>
      </c>
    </row>
    <row r="9" spans="1:14" x14ac:dyDescent="0.25">
      <c r="A9" s="4"/>
      <c r="B9" s="401"/>
      <c r="C9" s="402"/>
      <c r="D9" s="403"/>
      <c r="E9" s="403"/>
      <c r="F9" s="404"/>
      <c r="G9" s="405"/>
      <c r="H9" s="405"/>
      <c r="I9" s="405"/>
      <c r="J9" s="405"/>
      <c r="K9" s="406"/>
      <c r="M9" s="410"/>
      <c r="N9" s="412" t="str">
        <f>IFERROR(VLOOKUP(M9,Groups!$B$7:$D$65,3,0),"")</f>
        <v/>
      </c>
    </row>
    <row r="10" spans="1:14" ht="15.75" thickBot="1" x14ac:dyDescent="0.3">
      <c r="A10" s="4"/>
      <c r="B10" s="401">
        <f>INDEX(Matches!$B$4:$J$113,MATCH($F10,Matches!$B$4:$B$113,0),5)</f>
        <v>46186.875</v>
      </c>
      <c r="C10" s="402">
        <f>INDEX(Matches!$B$4:$J$113,MATCH($F10,Matches!$B$4:$B$113,0),5)</f>
        <v>46186.875</v>
      </c>
      <c r="D10" s="682" t="str">
        <f>INDEX(Matches!$B$4:$J$113,MATCH($F10,Matches!$B$4:$B$113,0),8)</f>
        <v>Katar</v>
      </c>
      <c r="E10" s="682" t="str">
        <f>INDEX(Matches!$B$4:$J$113,MATCH($F10,Matches!$B$4:$B$113,0),9)</f>
        <v>Schweiz</v>
      </c>
      <c r="F10" s="404">
        <v>8</v>
      </c>
      <c r="G10" s="405" t="str">
        <f>INDEX(Matches!$B$4:$J$113,MATCH($F10,Matches!$B$4:$B$113,0),2)</f>
        <v>B3</v>
      </c>
      <c r="H10" s="405" t="str">
        <f>INDEX(Matches!$B$4:$J$113,MATCH($F10,Matches!$B$4:$B$113,0),3)</f>
        <v>B4</v>
      </c>
      <c r="I10" s="405" t="str">
        <f>IFERROR(VLOOKUP($F10,Matches!$B$4:$H$113,7,0),"")</f>
        <v>San Francisco Bay Area</v>
      </c>
      <c r="J10" s="648"/>
      <c r="K10" s="649"/>
      <c r="M10" s="413"/>
      <c r="N10" s="414" t="str">
        <f>IFERROR(VLOOKUP(M10,Groups!$B$7:$D$65,3,0),"")</f>
        <v/>
      </c>
    </row>
    <row r="11" spans="1:14" x14ac:dyDescent="0.25">
      <c r="A11" s="4"/>
      <c r="B11" s="395">
        <f>INDEX(Matches!$B$4:$J$113,MATCH($F11,Matches!$B$4:$B$113,0),5)</f>
        <v>46187</v>
      </c>
      <c r="C11" s="396">
        <f>INDEX(Matches!$B$4:$J$113,MATCH($F11,Matches!$B$4:$B$113,0),5)</f>
        <v>46187</v>
      </c>
      <c r="D11" s="397" t="str">
        <f>INDEX(Matches!$B$4:$J$113,MATCH($F11,Matches!$B$4:$B$113,0),8)</f>
        <v>Brasilien</v>
      </c>
      <c r="E11" s="397" t="str">
        <f>INDEX(Matches!$B$4:$J$113,MATCH($F11,Matches!$B$4:$B$113,0),9)</f>
        <v>Marokko</v>
      </c>
      <c r="F11" s="400">
        <v>7</v>
      </c>
      <c r="G11" s="399" t="str">
        <f>INDEX(Matches!$B$4:$J$113,MATCH($F11,Matches!$B$4:$B$113,0),2)</f>
        <v>C1</v>
      </c>
      <c r="H11" s="399" t="str">
        <f>INDEX(Matches!$B$4:$J$113,MATCH($F11,Matches!$B$4:$B$113,0),3)</f>
        <v>C2</v>
      </c>
      <c r="I11" s="399" t="str">
        <f>IFERROR(VLOOKUP($F11,Matches!$B$4:$H$113,7,0),"")</f>
        <v>New York/New Jersey</v>
      </c>
      <c r="J11" s="648"/>
      <c r="K11" s="649"/>
    </row>
    <row r="12" spans="1:14" x14ac:dyDescent="0.25">
      <c r="A12" s="4"/>
      <c r="B12" s="395">
        <f>INDEX(Matches!$B$4:$J$113,MATCH($F12,Matches!$B$4:$B$113,0),5)</f>
        <v>46187.125</v>
      </c>
      <c r="C12" s="396">
        <f>INDEX(Matches!$B$4:$J$113,MATCH($F12,Matches!$B$4:$B$113,0),5)</f>
        <v>46187.125</v>
      </c>
      <c r="D12" s="397" t="str">
        <f>INDEX(Matches!$B$4:$J$113,MATCH($F12,Matches!$B$4:$B$113,0),8)</f>
        <v>Haiti</v>
      </c>
      <c r="E12" s="397" t="str">
        <f>INDEX(Matches!$B$4:$J$113,MATCH($F12,Matches!$B$4:$B$113,0),9)</f>
        <v>Schottland</v>
      </c>
      <c r="F12" s="400">
        <v>5</v>
      </c>
      <c r="G12" s="399" t="str">
        <f>INDEX(Matches!$B$4:$J$113,MATCH($F12,Matches!$B$4:$B$113,0),2)</f>
        <v>C3</v>
      </c>
      <c r="H12" s="399" t="str">
        <f>INDEX(Matches!$B$4:$J$113,MATCH($F12,Matches!$B$4:$B$113,0),3)</f>
        <v>C4</v>
      </c>
      <c r="I12" s="399" t="str">
        <f>IFERROR(VLOOKUP($F12,Matches!$B$4:$H$113,7,0),"")</f>
        <v>Boston</v>
      </c>
      <c r="J12" s="648"/>
      <c r="K12" s="649"/>
    </row>
    <row r="13" spans="1:14" x14ac:dyDescent="0.25">
      <c r="A13" s="4"/>
      <c r="B13" s="395">
        <f>INDEX(Matches!$B$4:$J$113,MATCH($F13,Matches!$B$4:$B$113,0),5)</f>
        <v>46187.25</v>
      </c>
      <c r="C13" s="396">
        <f>INDEX(Matches!$B$4:$J$113,MATCH($F13,Matches!$B$4:$B$113,0),5)</f>
        <v>46187.25</v>
      </c>
      <c r="D13" s="397" t="str">
        <f>INDEX(Matches!$B$4:$J$113,MATCH($F13,Matches!$B$4:$B$113,0),8)</f>
        <v>Australien</v>
      </c>
      <c r="E13" s="397" t="str">
        <f>INDEX(Matches!$B$4:$J$113,MATCH($F13,Matches!$B$4:$B$113,0),9)</f>
        <v>Türkei</v>
      </c>
      <c r="F13" s="400">
        <v>6</v>
      </c>
      <c r="G13" s="399" t="str">
        <f>INDEX(Matches!$B$4:$J$113,MATCH($F13,Matches!$B$4:$B$113,0),2)</f>
        <v>D3</v>
      </c>
      <c r="H13" s="399" t="str">
        <f>INDEX(Matches!$B$4:$J$113,MATCH($F13,Matches!$B$4:$B$113,0),3)</f>
        <v>D4</v>
      </c>
      <c r="I13" s="399" t="str">
        <f>IFERROR(VLOOKUP($F13,Matches!$B$4:$H$113,7,0),"")</f>
        <v>Vancouver</v>
      </c>
      <c r="J13" s="648"/>
      <c r="K13" s="649"/>
    </row>
    <row r="14" spans="1:14" x14ac:dyDescent="0.25">
      <c r="A14" s="4"/>
      <c r="B14" s="401"/>
      <c r="C14" s="402"/>
      <c r="D14" s="403"/>
      <c r="E14" s="403"/>
      <c r="F14" s="404"/>
      <c r="G14" s="405"/>
      <c r="H14" s="405"/>
      <c r="I14" s="405"/>
      <c r="J14" s="405"/>
      <c r="K14" s="406"/>
    </row>
    <row r="15" spans="1:14" x14ac:dyDescent="0.25">
      <c r="A15" s="4"/>
      <c r="B15" s="395">
        <f>INDEX(Matches!$B$4:$J$113,MATCH($F15,Matches!$B$4:$B$113,0),5)</f>
        <v>46187.791666666664</v>
      </c>
      <c r="C15" s="396">
        <f>INDEX(Matches!$B$4:$J$113,MATCH($F15,Matches!$B$4:$B$113,0),5)</f>
        <v>46187.791666666664</v>
      </c>
      <c r="D15" s="397" t="str">
        <f>INDEX(Matches!$B$4:$J$113,MATCH($F15,Matches!$B$4:$B$113,0),8)</f>
        <v>Deutschland</v>
      </c>
      <c r="E15" s="397" t="str">
        <f>INDEX(Matches!$B$4:$J$113,MATCH($F15,Matches!$B$4:$B$113,0),9)</f>
        <v>Curaçao</v>
      </c>
      <c r="F15" s="400">
        <v>10</v>
      </c>
      <c r="G15" s="399" t="str">
        <f>INDEX(Matches!$B$4:$J$113,MATCH($F15,Matches!$B$4:$B$113,0),2)</f>
        <v>E1</v>
      </c>
      <c r="H15" s="399" t="str">
        <f>INDEX(Matches!$B$4:$J$113,MATCH($F15,Matches!$B$4:$B$113,0),3)</f>
        <v>E2</v>
      </c>
      <c r="I15" s="399" t="str">
        <f>IFERROR(VLOOKUP($F15,Matches!$B$4:$H$113,7,0),"")</f>
        <v>Houston</v>
      </c>
      <c r="J15" s="648"/>
      <c r="K15" s="649"/>
    </row>
    <row r="16" spans="1:14" x14ac:dyDescent="0.25">
      <c r="A16" s="4"/>
      <c r="B16" s="395">
        <f>INDEX(Matches!$B$4:$J$113,MATCH($F16,Matches!$B$4:$B$113,0),5)</f>
        <v>46187.916666666664</v>
      </c>
      <c r="C16" s="396">
        <f>INDEX(Matches!$B$4:$J$113,MATCH($F16,Matches!$B$4:$B$113,0),5)</f>
        <v>46187.916666666664</v>
      </c>
      <c r="D16" s="397" t="str">
        <f>INDEX(Matches!$B$4:$J$113,MATCH($F16,Matches!$B$4:$B$113,0),8)</f>
        <v>Niederlande</v>
      </c>
      <c r="E16" s="397" t="str">
        <f>INDEX(Matches!$B$4:$J$113,MATCH($F16,Matches!$B$4:$B$113,0),9)</f>
        <v>Japan</v>
      </c>
      <c r="F16" s="400">
        <v>11</v>
      </c>
      <c r="G16" s="399" t="str">
        <f>INDEX(Matches!$B$4:$J$113,MATCH($F16,Matches!$B$4:$B$113,0),2)</f>
        <v>F1</v>
      </c>
      <c r="H16" s="399" t="str">
        <f>INDEX(Matches!$B$4:$J$113,MATCH($F16,Matches!$B$4:$B$113,0),3)</f>
        <v>F2</v>
      </c>
      <c r="I16" s="399" t="str">
        <f>IFERROR(VLOOKUP($F16,Matches!$B$4:$H$113,7,0),"")</f>
        <v>Dallas</v>
      </c>
      <c r="J16" s="648"/>
      <c r="K16" s="649"/>
    </row>
    <row r="17" spans="1:11" x14ac:dyDescent="0.25">
      <c r="A17" s="4"/>
      <c r="B17" s="395">
        <f>INDEX(Matches!$B$4:$J$113,MATCH($F17,Matches!$B$4:$B$113,0),5)</f>
        <v>46188.041666666664</v>
      </c>
      <c r="C17" s="396">
        <f>INDEX(Matches!$B$4:$J$113,MATCH($F17,Matches!$B$4:$B$113,0),5)</f>
        <v>46188.041666666664</v>
      </c>
      <c r="D17" s="397" t="str">
        <f>INDEX(Matches!$B$4:$J$113,MATCH($F17,Matches!$B$4:$B$113,0),8)</f>
        <v>Elfenbeinküste</v>
      </c>
      <c r="E17" s="397" t="str">
        <f>INDEX(Matches!$B$4:$J$113,MATCH($F17,Matches!$B$4:$B$113,0),9)</f>
        <v>Ecuador</v>
      </c>
      <c r="F17" s="400">
        <v>9</v>
      </c>
      <c r="G17" s="399" t="str">
        <f>INDEX(Matches!$B$4:$J$113,MATCH($F17,Matches!$B$4:$B$113,0),2)</f>
        <v>E3</v>
      </c>
      <c r="H17" s="399" t="str">
        <f>INDEX(Matches!$B$4:$J$113,MATCH($F17,Matches!$B$4:$B$113,0),3)</f>
        <v>E4</v>
      </c>
      <c r="I17" s="399" t="str">
        <f>IFERROR(VLOOKUP($F17,Matches!$B$4:$H$113,7,0),"")</f>
        <v>Philadelphia</v>
      </c>
      <c r="J17" s="648"/>
      <c r="K17" s="649"/>
    </row>
    <row r="18" spans="1:11" x14ac:dyDescent="0.25">
      <c r="A18" s="4"/>
      <c r="B18" s="395">
        <f>INDEX(Matches!$B$4:$J$113,MATCH($F18,Matches!$B$4:$B$113,0),5)</f>
        <v>46188.166666666664</v>
      </c>
      <c r="C18" s="396">
        <f>INDEX(Matches!$B$4:$J$113,MATCH($F18,Matches!$B$4:$B$113,0),5)</f>
        <v>46188.166666666664</v>
      </c>
      <c r="D18" s="397" t="str">
        <f>INDEX(Matches!$B$4:$J$113,MATCH($F18,Matches!$B$4:$B$113,0),8)</f>
        <v>Schweden</v>
      </c>
      <c r="E18" s="397" t="str">
        <f>INDEX(Matches!$B$4:$J$113,MATCH($F18,Matches!$B$4:$B$113,0),9)</f>
        <v>Tunesien</v>
      </c>
      <c r="F18" s="400">
        <v>12</v>
      </c>
      <c r="G18" s="399" t="str">
        <f>INDEX(Matches!$B$4:$J$113,MATCH($F18,Matches!$B$4:$B$113,0),2)</f>
        <v>F3</v>
      </c>
      <c r="H18" s="399" t="str">
        <f>INDEX(Matches!$B$4:$J$113,MATCH($F18,Matches!$B$4:$B$113,0),3)</f>
        <v>F4</v>
      </c>
      <c r="I18" s="399" t="str">
        <f>IFERROR(VLOOKUP($F18,Matches!$B$4:$H$113,7,0),"")</f>
        <v>Monterrey</v>
      </c>
      <c r="J18" s="648"/>
      <c r="K18" s="649"/>
    </row>
    <row r="19" spans="1:11" x14ac:dyDescent="0.25">
      <c r="A19" s="4"/>
      <c r="B19" s="401"/>
      <c r="C19" s="402"/>
      <c r="D19" s="403"/>
      <c r="E19" s="403"/>
      <c r="F19" s="404"/>
      <c r="G19" s="405"/>
      <c r="H19" s="405"/>
      <c r="I19" s="405"/>
      <c r="J19" s="405"/>
      <c r="K19" s="406"/>
    </row>
    <row r="20" spans="1:11" x14ac:dyDescent="0.25">
      <c r="A20" s="4"/>
      <c r="B20" s="395">
        <f>INDEX(Matches!$B$4:$J$113,MATCH($F20,Matches!$B$4:$B$113,0),5)</f>
        <v>46188.75</v>
      </c>
      <c r="C20" s="396">
        <f>INDEX(Matches!$B$4:$J$113,MATCH($F20,Matches!$B$4:$B$113,0),5)</f>
        <v>46188.75</v>
      </c>
      <c r="D20" s="397" t="str">
        <f>INDEX(Matches!$B$4:$J$113,MATCH($F20,Matches!$B$4:$B$113,0),8)</f>
        <v>Spanien</v>
      </c>
      <c r="E20" s="397" t="str">
        <f>INDEX(Matches!$B$4:$J$113,MATCH($F20,Matches!$B$4:$B$113,0),9)</f>
        <v>Kap Verde</v>
      </c>
      <c r="F20" s="400">
        <v>14</v>
      </c>
      <c r="G20" s="399" t="str">
        <f>INDEX(Matches!$B$4:$J$113,MATCH($F20,Matches!$B$4:$B$113,0),2)</f>
        <v>H1</v>
      </c>
      <c r="H20" s="399" t="str">
        <f>INDEX(Matches!$B$4:$J$113,MATCH($F20,Matches!$B$4:$B$113,0),3)</f>
        <v>H2</v>
      </c>
      <c r="I20" s="399" t="str">
        <f>IFERROR(VLOOKUP($F20,Matches!$B$4:$H$113,7,0),"")</f>
        <v>Atlanta</v>
      </c>
      <c r="J20" s="648"/>
      <c r="K20" s="649"/>
    </row>
    <row r="21" spans="1:11" x14ac:dyDescent="0.25">
      <c r="A21" s="4"/>
      <c r="B21" s="395">
        <f>INDEX(Matches!$B$4:$J$113,MATCH($F21,Matches!$B$4:$B$113,0),5)</f>
        <v>46188.875</v>
      </c>
      <c r="C21" s="396">
        <f>INDEX(Matches!$B$4:$J$113,MATCH($F21,Matches!$B$4:$B$113,0),5)</f>
        <v>46188.875</v>
      </c>
      <c r="D21" s="397" t="str">
        <f>INDEX(Matches!$B$4:$J$113,MATCH($F21,Matches!$B$4:$B$113,0),8)</f>
        <v>Belgien</v>
      </c>
      <c r="E21" s="397" t="str">
        <f>INDEX(Matches!$B$4:$J$113,MATCH($F21,Matches!$B$4:$B$113,0),9)</f>
        <v>Ägypten</v>
      </c>
      <c r="F21" s="400">
        <v>16</v>
      </c>
      <c r="G21" s="399" t="str">
        <f>INDEX(Matches!$B$4:$J$113,MATCH($F21,Matches!$B$4:$B$113,0),2)</f>
        <v>G1</v>
      </c>
      <c r="H21" s="399" t="str">
        <f>INDEX(Matches!$B$4:$J$113,MATCH($F21,Matches!$B$4:$B$113,0),3)</f>
        <v>G2</v>
      </c>
      <c r="I21" s="399" t="str">
        <f>IFERROR(VLOOKUP($F21,Matches!$B$4:$H$113,7,0),"")</f>
        <v>Seattle</v>
      </c>
      <c r="J21" s="648"/>
      <c r="K21" s="649"/>
    </row>
    <row r="22" spans="1:11" x14ac:dyDescent="0.25">
      <c r="A22" s="4"/>
      <c r="B22" s="395">
        <f>INDEX(Matches!$B$4:$J$113,MATCH($F22,Matches!$B$4:$B$113,0),5)</f>
        <v>46189</v>
      </c>
      <c r="C22" s="396">
        <f>INDEX(Matches!$B$4:$J$113,MATCH($F22,Matches!$B$4:$B$113,0),5)</f>
        <v>46189</v>
      </c>
      <c r="D22" s="397" t="str">
        <f>INDEX(Matches!$B$4:$J$113,MATCH($F22,Matches!$B$4:$B$113,0),8)</f>
        <v>Saudiarabien</v>
      </c>
      <c r="E22" s="397" t="str">
        <f>INDEX(Matches!$B$4:$J$113,MATCH($F22,Matches!$B$4:$B$113,0),9)</f>
        <v>Uruguay</v>
      </c>
      <c r="F22" s="400">
        <v>13</v>
      </c>
      <c r="G22" s="399" t="str">
        <f>INDEX(Matches!$B$4:$J$113,MATCH($F22,Matches!$B$4:$B$113,0),2)</f>
        <v>H3</v>
      </c>
      <c r="H22" s="399" t="str">
        <f>INDEX(Matches!$B$4:$J$113,MATCH($F22,Matches!$B$4:$B$113,0),3)</f>
        <v>H4</v>
      </c>
      <c r="I22" s="399" t="str">
        <f>IFERROR(VLOOKUP($F22,Matches!$B$4:$H$113,7,0),"")</f>
        <v>Miami</v>
      </c>
      <c r="J22" s="648"/>
      <c r="K22" s="649"/>
    </row>
    <row r="23" spans="1:11" x14ac:dyDescent="0.25">
      <c r="A23" s="4"/>
      <c r="B23" s="401">
        <f>INDEX(Matches!$B$4:$J$113,MATCH($F23,Matches!$B$4:$B$113,0),5)</f>
        <v>46189.125</v>
      </c>
      <c r="C23" s="402">
        <f>INDEX(Matches!$B$4:$J$113,MATCH($F23,Matches!$B$4:$B$113,0),5)</f>
        <v>46189.125</v>
      </c>
      <c r="D23" s="682" t="str">
        <f>INDEX(Matches!$B$4:$J$113,MATCH($F23,Matches!$B$4:$B$113,0),8)</f>
        <v>IR Iran</v>
      </c>
      <c r="E23" s="682" t="str">
        <f>INDEX(Matches!$B$4:$J$113,MATCH($F23,Matches!$B$4:$B$113,0),9)</f>
        <v>Neuseeland</v>
      </c>
      <c r="F23" s="404">
        <v>15</v>
      </c>
      <c r="G23" s="405" t="str">
        <f>INDEX(Matches!$B$4:$J$113,MATCH($F23,Matches!$B$4:$B$113,0),2)</f>
        <v>G3</v>
      </c>
      <c r="H23" s="405" t="str">
        <f>INDEX(Matches!$B$4:$J$113,MATCH($F23,Matches!$B$4:$B$113,0),3)</f>
        <v>G4</v>
      </c>
      <c r="I23" s="405" t="str">
        <f>IFERROR(VLOOKUP($F23,Matches!$B$4:$H$113,7,0),"")</f>
        <v>Los Angeles</v>
      </c>
      <c r="J23" s="648"/>
      <c r="K23" s="649"/>
    </row>
    <row r="24" spans="1:11" x14ac:dyDescent="0.25">
      <c r="A24" s="4"/>
      <c r="B24" s="401"/>
      <c r="C24" s="402"/>
      <c r="D24" s="403"/>
      <c r="E24" s="403"/>
      <c r="F24" s="404"/>
      <c r="G24" s="405"/>
      <c r="H24" s="405"/>
      <c r="I24" s="405"/>
      <c r="J24" s="405"/>
      <c r="K24" s="406"/>
    </row>
    <row r="25" spans="1:11" x14ac:dyDescent="0.25">
      <c r="A25" s="4"/>
      <c r="B25" s="395">
        <f>INDEX(Matches!$B$4:$J$113,MATCH($F25,Matches!$B$4:$B$113,0),5)</f>
        <v>46189.875</v>
      </c>
      <c r="C25" s="396">
        <f>INDEX(Matches!$B$4:$J$113,MATCH($F25,Matches!$B$4:$B$113,0),5)</f>
        <v>46189.875</v>
      </c>
      <c r="D25" s="397" t="str">
        <f>INDEX(Matches!$B$4:$J$113,MATCH($F25,Matches!$B$4:$B$113,0),8)</f>
        <v>Frankreich</v>
      </c>
      <c r="E25" s="397" t="str">
        <f>INDEX(Matches!$B$4:$J$113,MATCH($F25,Matches!$B$4:$B$113,0),9)</f>
        <v>Senegal</v>
      </c>
      <c r="F25" s="400">
        <v>17</v>
      </c>
      <c r="G25" s="399" t="str">
        <f>INDEX(Matches!$B$4:$J$113,MATCH($F25,Matches!$B$4:$B$113,0),2)</f>
        <v>I1</v>
      </c>
      <c r="H25" s="399" t="str">
        <f>INDEX(Matches!$B$4:$J$113,MATCH($F25,Matches!$B$4:$B$113,0),3)</f>
        <v>I2</v>
      </c>
      <c r="I25" s="399" t="str">
        <f>IFERROR(VLOOKUP($F25,Matches!$B$4:$H$113,7,0),"")</f>
        <v>New York/New Jersey</v>
      </c>
      <c r="J25" s="648"/>
      <c r="K25" s="649"/>
    </row>
    <row r="26" spans="1:11" x14ac:dyDescent="0.25">
      <c r="A26" s="4"/>
      <c r="B26" s="395">
        <f>INDEX(Matches!$B$4:$J$113,MATCH($F26,Matches!$B$4:$B$113,0),5)</f>
        <v>46190</v>
      </c>
      <c r="C26" s="396">
        <f>INDEX(Matches!$B$4:$J$113,MATCH($F26,Matches!$B$4:$B$113,0),5)</f>
        <v>46190</v>
      </c>
      <c r="D26" s="397" t="str">
        <f>INDEX(Matches!$B$4:$J$113,MATCH($F26,Matches!$B$4:$B$113,0),8)</f>
        <v>Irak</v>
      </c>
      <c r="E26" s="397" t="str">
        <f>INDEX(Matches!$B$4:$J$113,MATCH($F26,Matches!$B$4:$B$113,0),9)</f>
        <v>Norwegen</v>
      </c>
      <c r="F26" s="400">
        <v>18</v>
      </c>
      <c r="G26" s="399" t="str">
        <f>INDEX(Matches!$B$4:$J$113,MATCH($F26,Matches!$B$4:$B$113,0),2)</f>
        <v>I3</v>
      </c>
      <c r="H26" s="399" t="str">
        <f>INDEX(Matches!$B$4:$J$113,MATCH($F26,Matches!$B$4:$B$113,0),3)</f>
        <v>I4</v>
      </c>
      <c r="I26" s="399" t="str">
        <f>IFERROR(VLOOKUP($F26,Matches!$B$4:$H$113,7,0),"")</f>
        <v>Boston</v>
      </c>
      <c r="J26" s="648"/>
      <c r="K26" s="649"/>
    </row>
    <row r="27" spans="1:11" x14ac:dyDescent="0.25">
      <c r="A27" s="4"/>
      <c r="B27" s="395">
        <f>INDEX(Matches!$B$4:$J$113,MATCH($F27,Matches!$B$4:$B$113,0),5)</f>
        <v>46190.125</v>
      </c>
      <c r="C27" s="396">
        <f>INDEX(Matches!$B$4:$J$113,MATCH($F27,Matches!$B$4:$B$113,0),5)</f>
        <v>46190.125</v>
      </c>
      <c r="D27" s="397" t="str">
        <f>INDEX(Matches!$B$4:$J$113,MATCH($F27,Matches!$B$4:$B$113,0),8)</f>
        <v>Argentinien</v>
      </c>
      <c r="E27" s="397" t="str">
        <f>INDEX(Matches!$B$4:$J$113,MATCH($F27,Matches!$B$4:$B$113,0),9)</f>
        <v>Algerien</v>
      </c>
      <c r="F27" s="400">
        <v>19</v>
      </c>
      <c r="G27" s="399" t="str">
        <f>INDEX(Matches!$B$4:$J$113,MATCH($F27,Matches!$B$4:$B$113,0),2)</f>
        <v>J1</v>
      </c>
      <c r="H27" s="399" t="str">
        <f>INDEX(Matches!$B$4:$J$113,MATCH($F27,Matches!$B$4:$B$113,0),3)</f>
        <v>J2</v>
      </c>
      <c r="I27" s="399" t="str">
        <f>IFERROR(VLOOKUP($F27,Matches!$B$4:$H$113,7,0),"")</f>
        <v>Kansas City</v>
      </c>
      <c r="J27" s="648"/>
      <c r="K27" s="649"/>
    </row>
    <row r="28" spans="1:11" x14ac:dyDescent="0.25">
      <c r="A28" s="4"/>
      <c r="B28" s="395">
        <f>INDEX(Matches!$B$4:$J$113,MATCH($F28,Matches!$B$4:$B$113,0),5)</f>
        <v>46190.25</v>
      </c>
      <c r="C28" s="396">
        <f>INDEX(Matches!$B$4:$J$113,MATCH($F28,Matches!$B$4:$B$113,0),5)</f>
        <v>46190.25</v>
      </c>
      <c r="D28" s="397" t="str">
        <f>INDEX(Matches!$B$4:$J$113,MATCH($F28,Matches!$B$4:$B$113,0),8)</f>
        <v>Österreich</v>
      </c>
      <c r="E28" s="397" t="str">
        <f>INDEX(Matches!$B$4:$J$113,MATCH($F28,Matches!$B$4:$B$113,0),9)</f>
        <v>Jordanien</v>
      </c>
      <c r="F28" s="400">
        <v>20</v>
      </c>
      <c r="G28" s="399" t="str">
        <f>INDEX(Matches!$B$4:$J$113,MATCH($F28,Matches!$B$4:$B$113,0),2)</f>
        <v>J3</v>
      </c>
      <c r="H28" s="399" t="str">
        <f>INDEX(Matches!$B$4:$J$113,MATCH($F28,Matches!$B$4:$B$113,0),3)</f>
        <v>J4</v>
      </c>
      <c r="I28" s="399" t="str">
        <f>IFERROR(VLOOKUP($F28,Matches!$B$4:$H$113,7,0),"")</f>
        <v>San Francisco Bay Area</v>
      </c>
      <c r="J28" s="648"/>
      <c r="K28" s="649"/>
    </row>
    <row r="29" spans="1:11" x14ac:dyDescent="0.25">
      <c r="A29" s="4"/>
      <c r="B29" s="401"/>
      <c r="C29" s="402"/>
      <c r="D29" s="403"/>
      <c r="E29" s="403"/>
      <c r="F29" s="404"/>
      <c r="G29" s="405"/>
      <c r="H29" s="405"/>
      <c r="I29" s="405"/>
      <c r="J29" s="405"/>
      <c r="K29" s="406"/>
    </row>
    <row r="30" spans="1:11" x14ac:dyDescent="0.25">
      <c r="A30" s="4"/>
      <c r="B30" s="395">
        <f>INDEX(Matches!$B$4:$J$113,MATCH($F30,Matches!$B$4:$B$113,0),5)</f>
        <v>46190.791666666664</v>
      </c>
      <c r="C30" s="396">
        <f>INDEX(Matches!$B$4:$J$113,MATCH($F30,Matches!$B$4:$B$113,0),5)</f>
        <v>46190.791666666664</v>
      </c>
      <c r="D30" s="397" t="str">
        <f>INDEX(Matches!$B$4:$J$113,MATCH($F30,Matches!$B$4:$B$113,0),8)</f>
        <v>Portugal</v>
      </c>
      <c r="E30" s="397" t="str">
        <f>INDEX(Matches!$B$4:$J$113,MATCH($F30,Matches!$B$4:$B$113,0),9)</f>
        <v>DR Kongo</v>
      </c>
      <c r="F30" s="400">
        <v>23</v>
      </c>
      <c r="G30" s="399" t="str">
        <f>INDEX(Matches!$B$4:$J$113,MATCH($F30,Matches!$B$4:$B$113,0),2)</f>
        <v>K1</v>
      </c>
      <c r="H30" s="399" t="str">
        <f>INDEX(Matches!$B$4:$J$113,MATCH($F30,Matches!$B$4:$B$113,0),3)</f>
        <v>K2</v>
      </c>
      <c r="I30" s="399" t="str">
        <f>IFERROR(VLOOKUP($F30,Matches!$B$4:$H$113,7,0),"")</f>
        <v>Houston</v>
      </c>
      <c r="J30" s="648"/>
      <c r="K30" s="649"/>
    </row>
    <row r="31" spans="1:11" x14ac:dyDescent="0.25">
      <c r="A31" s="4"/>
      <c r="B31" s="395">
        <f>INDEX(Matches!$B$4:$J$113,MATCH($F31,Matches!$B$4:$B$113,0),5)</f>
        <v>46190.916666666664</v>
      </c>
      <c r="C31" s="396">
        <f>INDEX(Matches!$B$4:$J$113,MATCH($F31,Matches!$B$4:$B$113,0),5)</f>
        <v>46190.916666666664</v>
      </c>
      <c r="D31" s="397" t="str">
        <f>INDEX(Matches!$B$4:$J$113,MATCH($F31,Matches!$B$4:$B$113,0),8)</f>
        <v>England</v>
      </c>
      <c r="E31" s="397" t="str">
        <f>INDEX(Matches!$B$4:$J$113,MATCH($F31,Matches!$B$4:$B$113,0),9)</f>
        <v>Kroatien</v>
      </c>
      <c r="F31" s="400">
        <v>22</v>
      </c>
      <c r="G31" s="399" t="str">
        <f>INDEX(Matches!$B$4:$J$113,MATCH($F31,Matches!$B$4:$B$113,0),2)</f>
        <v>L1</v>
      </c>
      <c r="H31" s="399" t="str">
        <f>INDEX(Matches!$B$4:$J$113,MATCH($F31,Matches!$B$4:$B$113,0),3)</f>
        <v>L2</v>
      </c>
      <c r="I31" s="399" t="str">
        <f>IFERROR(VLOOKUP($F31,Matches!$B$4:$H$113,7,0),"")</f>
        <v>Dallas</v>
      </c>
      <c r="J31" s="648"/>
      <c r="K31" s="649"/>
    </row>
    <row r="32" spans="1:11" x14ac:dyDescent="0.25">
      <c r="A32" s="4"/>
      <c r="B32" s="395">
        <f>INDEX(Matches!$B$4:$J$113,MATCH($F32,Matches!$B$4:$B$113,0),5)</f>
        <v>46191.041666666664</v>
      </c>
      <c r="C32" s="396">
        <f>INDEX(Matches!$B$4:$J$113,MATCH($F32,Matches!$B$4:$B$113,0),5)</f>
        <v>46191.041666666664</v>
      </c>
      <c r="D32" s="397" t="str">
        <f>INDEX(Matches!$B$4:$J$113,MATCH($F32,Matches!$B$4:$B$113,0),8)</f>
        <v>Ghana</v>
      </c>
      <c r="E32" s="397" t="str">
        <f>INDEX(Matches!$B$4:$J$113,MATCH($F32,Matches!$B$4:$B$113,0),9)</f>
        <v>Panama</v>
      </c>
      <c r="F32" s="400">
        <v>21</v>
      </c>
      <c r="G32" s="399" t="str">
        <f>INDEX(Matches!$B$4:$J$113,MATCH($F32,Matches!$B$4:$B$113,0),2)</f>
        <v>L3</v>
      </c>
      <c r="H32" s="399" t="str">
        <f>INDEX(Matches!$B$4:$J$113,MATCH($F32,Matches!$B$4:$B$113,0),3)</f>
        <v>L4</v>
      </c>
      <c r="I32" s="399" t="str">
        <f>IFERROR(VLOOKUP($F32,Matches!$B$4:$H$113,7,0),"")</f>
        <v>Toronto</v>
      </c>
      <c r="J32" s="648"/>
      <c r="K32" s="649"/>
    </row>
    <row r="33" spans="1:11" x14ac:dyDescent="0.25">
      <c r="A33" s="4"/>
      <c r="B33" s="395">
        <f>INDEX(Matches!$B$4:$J$113,MATCH($F33,Matches!$B$4:$B$113,0),5)</f>
        <v>46191.166666666664</v>
      </c>
      <c r="C33" s="396">
        <f>INDEX(Matches!$B$4:$J$113,MATCH($F33,Matches!$B$4:$B$113,0),5)</f>
        <v>46191.166666666664</v>
      </c>
      <c r="D33" s="397" t="str">
        <f>INDEX(Matches!$B$4:$J$113,MATCH($F33,Matches!$B$4:$B$113,0),8)</f>
        <v>Usbekistan</v>
      </c>
      <c r="E33" s="397" t="str">
        <f>INDEX(Matches!$B$4:$J$113,MATCH($F33,Matches!$B$4:$B$113,0),9)</f>
        <v>Kolumbien</v>
      </c>
      <c r="F33" s="400">
        <v>24</v>
      </c>
      <c r="G33" s="399" t="str">
        <f>INDEX(Matches!$B$4:$J$113,MATCH($F33,Matches!$B$4:$B$113,0),2)</f>
        <v>K3</v>
      </c>
      <c r="H33" s="399" t="str">
        <f>INDEX(Matches!$B$4:$J$113,MATCH($F33,Matches!$B$4:$B$113,0),3)</f>
        <v>K4</v>
      </c>
      <c r="I33" s="399" t="str">
        <f>IFERROR(VLOOKUP($F33,Matches!$B$4:$H$113,7,0),"")</f>
        <v>Mexico City</v>
      </c>
      <c r="J33" s="648"/>
      <c r="K33" s="649"/>
    </row>
    <row r="34" spans="1:11" x14ac:dyDescent="0.25">
      <c r="A34" s="4"/>
      <c r="B34" s="401"/>
      <c r="C34" s="402"/>
      <c r="D34" s="403"/>
      <c r="E34" s="403"/>
      <c r="F34" s="404"/>
      <c r="G34" s="405"/>
      <c r="H34" s="405"/>
      <c r="I34" s="405"/>
      <c r="J34" s="405"/>
      <c r="K34" s="406"/>
    </row>
    <row r="35" spans="1:11" x14ac:dyDescent="0.25">
      <c r="A35" s="4"/>
      <c r="B35" s="395">
        <f>INDEX(Matches!$B$4:$J$113,MATCH($F35,Matches!$B$4:$B$113,0),5)</f>
        <v>46191.75</v>
      </c>
      <c r="C35" s="396">
        <f>INDEX(Matches!$B$4:$J$113,MATCH($F35,Matches!$B$4:$B$113,0),5)</f>
        <v>46191.75</v>
      </c>
      <c r="D35" s="397" t="str">
        <f>INDEX(Matches!$B$4:$J$113,MATCH($F35,Matches!$B$4:$B$113,0),8)</f>
        <v>Tschechien</v>
      </c>
      <c r="E35" s="397" t="str">
        <f>INDEX(Matches!$B$4:$J$113,MATCH($F35,Matches!$B$4:$B$113,0),9)</f>
        <v>Südafrika</v>
      </c>
      <c r="F35" s="400">
        <v>25</v>
      </c>
      <c r="G35" s="399" t="str">
        <f>INDEX(Matches!$B$4:$J$113,MATCH($F35,Matches!$B$4:$B$113,0),2)</f>
        <v>A4</v>
      </c>
      <c r="H35" s="399" t="str">
        <f>INDEX(Matches!$B$4:$J$113,MATCH($F35,Matches!$B$4:$B$113,0),3)</f>
        <v>A2</v>
      </c>
      <c r="I35" s="399" t="str">
        <f>IFERROR(VLOOKUP($F35,Matches!$B$4:$H$113,7,0),"")</f>
        <v>Atlanta</v>
      </c>
      <c r="J35" s="648"/>
      <c r="K35" s="649"/>
    </row>
    <row r="36" spans="1:11" x14ac:dyDescent="0.25">
      <c r="A36" s="4"/>
      <c r="B36" s="395">
        <f>INDEX(Matches!$B$4:$J$113,MATCH($F36,Matches!$B$4:$B$113,0),5)</f>
        <v>46191.875</v>
      </c>
      <c r="C36" s="396">
        <f>INDEX(Matches!$B$4:$J$113,MATCH($F36,Matches!$B$4:$B$113,0),5)</f>
        <v>46191.875</v>
      </c>
      <c r="D36" s="397" t="str">
        <f>INDEX(Matches!$B$4:$J$113,MATCH($F36,Matches!$B$4:$B$113,0),8)</f>
        <v>Schweiz</v>
      </c>
      <c r="E36" s="397" t="str">
        <f>INDEX(Matches!$B$4:$J$113,MATCH($F36,Matches!$B$4:$B$113,0),9)</f>
        <v>Bosnien/Herzeg.</v>
      </c>
      <c r="F36" s="400">
        <v>26</v>
      </c>
      <c r="G36" s="399" t="str">
        <f>INDEX(Matches!$B$4:$J$113,MATCH($F36,Matches!$B$4:$B$113,0),2)</f>
        <v>B4</v>
      </c>
      <c r="H36" s="399" t="str">
        <f>INDEX(Matches!$B$4:$J$113,MATCH($F36,Matches!$B$4:$B$113,0),3)</f>
        <v>B2</v>
      </c>
      <c r="I36" s="399" t="str">
        <f>IFERROR(VLOOKUP($F36,Matches!$B$4:$H$113,7,0),"")</f>
        <v>Los Angeles</v>
      </c>
      <c r="J36" s="648"/>
      <c r="K36" s="649"/>
    </row>
    <row r="37" spans="1:11" x14ac:dyDescent="0.25">
      <c r="A37" s="4"/>
      <c r="B37" s="395">
        <f>INDEX(Matches!$B$4:$J$113,MATCH($F37,Matches!$B$4:$B$113,0),5)</f>
        <v>46192</v>
      </c>
      <c r="C37" s="396">
        <f>INDEX(Matches!$B$4:$J$113,MATCH($F37,Matches!$B$4:$B$113,0),5)</f>
        <v>46192</v>
      </c>
      <c r="D37" s="397" t="str">
        <f>INDEX(Matches!$B$4:$J$113,MATCH($F37,Matches!$B$4:$B$113,0),8)</f>
        <v>Kanada</v>
      </c>
      <c r="E37" s="397" t="str">
        <f>INDEX(Matches!$B$4:$J$113,MATCH($F37,Matches!$B$4:$B$113,0),9)</f>
        <v>Katar</v>
      </c>
      <c r="F37" s="400">
        <v>27</v>
      </c>
      <c r="G37" s="399" t="str">
        <f>INDEX(Matches!$B$4:$J$113,MATCH($F37,Matches!$B$4:$B$113,0),2)</f>
        <v>B1</v>
      </c>
      <c r="H37" s="399" t="str">
        <f>INDEX(Matches!$B$4:$J$113,MATCH($F37,Matches!$B$4:$B$113,0),3)</f>
        <v>B3</v>
      </c>
      <c r="I37" s="399" t="str">
        <f>IFERROR(VLOOKUP($F37,Matches!$B$4:$H$113,7,0),"")</f>
        <v>Vancouver</v>
      </c>
      <c r="J37" s="648"/>
      <c r="K37" s="649"/>
    </row>
    <row r="38" spans="1:11" x14ac:dyDescent="0.25">
      <c r="A38" s="4"/>
      <c r="B38" s="395">
        <f>INDEX(Matches!$B$4:$J$113,MATCH($F38,Matches!$B$4:$B$113,0),5)</f>
        <v>46192.125</v>
      </c>
      <c r="C38" s="396">
        <f>INDEX(Matches!$B$4:$J$113,MATCH($F38,Matches!$B$4:$B$113,0),5)</f>
        <v>46192.125</v>
      </c>
      <c r="D38" s="397" t="str">
        <f>INDEX(Matches!$B$4:$J$113,MATCH($F38,Matches!$B$4:$B$113,0),8)</f>
        <v>Mexiko</v>
      </c>
      <c r="E38" s="397" t="str">
        <f>INDEX(Matches!$B$4:$J$113,MATCH($F38,Matches!$B$4:$B$113,0),9)</f>
        <v>Südkorea</v>
      </c>
      <c r="F38" s="400">
        <v>28</v>
      </c>
      <c r="G38" s="399" t="str">
        <f>INDEX(Matches!$B$4:$J$113,MATCH($F38,Matches!$B$4:$B$113,0),2)</f>
        <v>A1</v>
      </c>
      <c r="H38" s="399" t="str">
        <f>INDEX(Matches!$B$4:$J$113,MATCH($F38,Matches!$B$4:$B$113,0),3)</f>
        <v>A3</v>
      </c>
      <c r="I38" s="399" t="str">
        <f>IFERROR(VLOOKUP($F38,Matches!$B$4:$H$113,7,0),"")</f>
        <v>Guadalajara</v>
      </c>
      <c r="J38" s="648"/>
      <c r="K38" s="649"/>
    </row>
    <row r="39" spans="1:11" x14ac:dyDescent="0.25">
      <c r="A39" s="4"/>
      <c r="B39" s="401"/>
      <c r="C39" s="402"/>
      <c r="D39" s="403"/>
      <c r="E39" s="403"/>
      <c r="F39" s="404"/>
      <c r="G39" s="405"/>
      <c r="H39" s="405"/>
      <c r="I39" s="405"/>
      <c r="J39" s="405"/>
      <c r="K39" s="406"/>
    </row>
    <row r="40" spans="1:11" x14ac:dyDescent="0.25">
      <c r="A40" s="4"/>
      <c r="B40" s="395">
        <f>INDEX(Matches!$B$4:$J$113,MATCH($F40,Matches!$B$4:$B$113,0),5)</f>
        <v>46192.875</v>
      </c>
      <c r="C40" s="396">
        <f>INDEX(Matches!$B$4:$J$113,MATCH($F40,Matches!$B$4:$B$113,0),5)</f>
        <v>46192.875</v>
      </c>
      <c r="D40" s="397" t="str">
        <f>INDEX(Matches!$B$4:$J$113,MATCH($F40,Matches!$B$4:$B$113,0),8)</f>
        <v>USA</v>
      </c>
      <c r="E40" s="397" t="str">
        <f>INDEX(Matches!$B$4:$J$113,MATCH($F40,Matches!$B$4:$B$113,0),9)</f>
        <v>Australien</v>
      </c>
      <c r="F40" s="400">
        <v>32</v>
      </c>
      <c r="G40" s="399" t="str">
        <f>INDEX(Matches!$B$4:$J$113,MATCH($F40,Matches!$B$4:$B$113,0),2)</f>
        <v>D1</v>
      </c>
      <c r="H40" s="399" t="str">
        <f>INDEX(Matches!$B$4:$J$113,MATCH($F40,Matches!$B$4:$B$113,0),3)</f>
        <v>D3</v>
      </c>
      <c r="I40" s="399" t="str">
        <f>IFERROR(VLOOKUP($F40,Matches!$B$4:$H$113,7,0),"")</f>
        <v>Seattle</v>
      </c>
      <c r="J40" s="648"/>
      <c r="K40" s="649"/>
    </row>
    <row r="41" spans="1:11" x14ac:dyDescent="0.25">
      <c r="A41" s="4"/>
      <c r="B41" s="395">
        <f>INDEX(Matches!$B$4:$J$113,MATCH($F41,Matches!$B$4:$B$113,0),5)</f>
        <v>46193</v>
      </c>
      <c r="C41" s="396">
        <f>INDEX(Matches!$B$4:$J$113,MATCH($F41,Matches!$B$4:$B$113,0),5)</f>
        <v>46193</v>
      </c>
      <c r="D41" s="397" t="str">
        <f>INDEX(Matches!$B$4:$J$113,MATCH($F41,Matches!$B$4:$B$113,0),8)</f>
        <v>Schottland</v>
      </c>
      <c r="E41" s="397" t="str">
        <f>INDEX(Matches!$B$4:$J$113,MATCH($F41,Matches!$B$4:$B$113,0),9)</f>
        <v>Marokko</v>
      </c>
      <c r="F41" s="400">
        <v>30</v>
      </c>
      <c r="G41" s="399" t="str">
        <f>INDEX(Matches!$B$4:$J$113,MATCH($F41,Matches!$B$4:$B$113,0),2)</f>
        <v>C4</v>
      </c>
      <c r="H41" s="399" t="str">
        <f>INDEX(Matches!$B$4:$J$113,MATCH($F41,Matches!$B$4:$B$113,0),3)</f>
        <v>C2</v>
      </c>
      <c r="I41" s="399" t="str">
        <f>IFERROR(VLOOKUP($F41,Matches!$B$4:$H$113,7,0),"")</f>
        <v>Boston</v>
      </c>
      <c r="J41" s="648"/>
      <c r="K41" s="649"/>
    </row>
    <row r="42" spans="1:11" x14ac:dyDescent="0.25">
      <c r="A42" s="4"/>
      <c r="B42" s="395">
        <f>INDEX(Matches!$B$4:$J$113,MATCH($F42,Matches!$B$4:$B$113,0),5)</f>
        <v>46193.104166666664</v>
      </c>
      <c r="C42" s="396">
        <f>INDEX(Matches!$B$4:$J$113,MATCH($F42,Matches!$B$4:$B$113,0),5)</f>
        <v>46193.104166666664</v>
      </c>
      <c r="D42" s="397" t="str">
        <f>INDEX(Matches!$B$4:$J$113,MATCH($F42,Matches!$B$4:$B$113,0),8)</f>
        <v>Brasilien</v>
      </c>
      <c r="E42" s="397" t="str">
        <f>INDEX(Matches!$B$4:$J$113,MATCH($F42,Matches!$B$4:$B$113,0),9)</f>
        <v>Haiti</v>
      </c>
      <c r="F42" s="400">
        <v>29</v>
      </c>
      <c r="G42" s="399" t="str">
        <f>INDEX(Matches!$B$4:$J$113,MATCH($F42,Matches!$B$4:$B$113,0),2)</f>
        <v>C1</v>
      </c>
      <c r="H42" s="399" t="str">
        <f>INDEX(Matches!$B$4:$J$113,MATCH($F42,Matches!$B$4:$B$113,0),3)</f>
        <v>C3</v>
      </c>
      <c r="I42" s="399" t="str">
        <f>IFERROR(VLOOKUP($F42,Matches!$B$4:$H$113,7,0),"")</f>
        <v>Philadelphia</v>
      </c>
      <c r="J42" s="648"/>
      <c r="K42" s="649"/>
    </row>
    <row r="43" spans="1:11" x14ac:dyDescent="0.25">
      <c r="A43" s="4"/>
      <c r="B43" s="395">
        <f>INDEX(Matches!$B$4:$J$113,MATCH($F43,Matches!$B$4:$B$113,0),5)</f>
        <v>46193.208333333336</v>
      </c>
      <c r="C43" s="396">
        <f>INDEX(Matches!$B$4:$J$113,MATCH($F43,Matches!$B$4:$B$113,0),5)</f>
        <v>46193.208333333336</v>
      </c>
      <c r="D43" s="397" t="str">
        <f>INDEX(Matches!$B$4:$J$113,MATCH($F43,Matches!$B$4:$B$113,0),8)</f>
        <v>Türkei</v>
      </c>
      <c r="E43" s="397" t="str">
        <f>INDEX(Matches!$B$4:$J$113,MATCH($F43,Matches!$B$4:$B$113,0),9)</f>
        <v>Paraguay</v>
      </c>
      <c r="F43" s="400">
        <v>31</v>
      </c>
      <c r="G43" s="399" t="str">
        <f>INDEX(Matches!$B$4:$J$113,MATCH($F43,Matches!$B$4:$B$113,0),2)</f>
        <v>D4</v>
      </c>
      <c r="H43" s="399" t="str">
        <f>INDEX(Matches!$B$4:$J$113,MATCH($F43,Matches!$B$4:$B$113,0),3)</f>
        <v>D2</v>
      </c>
      <c r="I43" s="399" t="str">
        <f>IFERROR(VLOOKUP($F43,Matches!$B$4:$H$113,7,0),"")</f>
        <v>San Francisco Bay Area</v>
      </c>
      <c r="J43" s="648"/>
      <c r="K43" s="649"/>
    </row>
    <row r="44" spans="1:11" x14ac:dyDescent="0.25">
      <c r="A44" s="4"/>
      <c r="B44" s="401"/>
      <c r="C44" s="402"/>
      <c r="D44" s="403"/>
      <c r="E44" s="403"/>
      <c r="F44" s="404"/>
      <c r="G44" s="405"/>
      <c r="H44" s="405"/>
      <c r="I44" s="405"/>
      <c r="J44" s="405"/>
      <c r="K44" s="406"/>
    </row>
    <row r="45" spans="1:11" x14ac:dyDescent="0.25">
      <c r="A45" s="4"/>
      <c r="B45" s="395">
        <f>INDEX(Matches!$B$4:$J$113,MATCH($F45,Matches!$B$4:$B$113,0),5)</f>
        <v>46193.791666666664</v>
      </c>
      <c r="C45" s="396">
        <f>INDEX(Matches!$B$4:$J$113,MATCH($F45,Matches!$B$4:$B$113,0),5)</f>
        <v>46193.791666666664</v>
      </c>
      <c r="D45" s="397" t="str">
        <f>INDEX(Matches!$B$4:$J$113,MATCH($F45,Matches!$B$4:$B$113,0),8)</f>
        <v>Niederlande</v>
      </c>
      <c r="E45" s="397" t="str">
        <f>INDEX(Matches!$B$4:$J$113,MATCH($F45,Matches!$B$4:$B$113,0),9)</f>
        <v>Schweden</v>
      </c>
      <c r="F45" s="400">
        <v>35</v>
      </c>
      <c r="G45" s="399" t="str">
        <f>INDEX(Matches!$B$4:$J$113,MATCH($F45,Matches!$B$4:$B$113,0),2)</f>
        <v>F1</v>
      </c>
      <c r="H45" s="399" t="str">
        <f>INDEX(Matches!$B$4:$J$113,MATCH($F45,Matches!$B$4:$B$113,0),3)</f>
        <v>F3</v>
      </c>
      <c r="I45" s="399" t="str">
        <f>IFERROR(VLOOKUP($F45,Matches!$B$4:$H$113,7,0),"")</f>
        <v>Houston</v>
      </c>
      <c r="J45" s="648"/>
      <c r="K45" s="649"/>
    </row>
    <row r="46" spans="1:11" x14ac:dyDescent="0.25">
      <c r="A46" s="4"/>
      <c r="B46" s="395">
        <f>INDEX(Matches!$B$4:$J$113,MATCH($F46,Matches!$B$4:$B$113,0),5)</f>
        <v>46193.916666666664</v>
      </c>
      <c r="C46" s="396">
        <f>INDEX(Matches!$B$4:$J$113,MATCH($F46,Matches!$B$4:$B$113,0),5)</f>
        <v>46193.916666666664</v>
      </c>
      <c r="D46" s="397" t="str">
        <f>INDEX(Matches!$B$4:$J$113,MATCH($F46,Matches!$B$4:$B$113,0),8)</f>
        <v>Deutschland</v>
      </c>
      <c r="E46" s="397" t="str">
        <f>INDEX(Matches!$B$4:$J$113,MATCH($F46,Matches!$B$4:$B$113,0),9)</f>
        <v>Elfenbeinküste</v>
      </c>
      <c r="F46" s="400">
        <v>33</v>
      </c>
      <c r="G46" s="399" t="str">
        <f>INDEX(Matches!$B$4:$J$113,MATCH($F46,Matches!$B$4:$B$113,0),2)</f>
        <v>E1</v>
      </c>
      <c r="H46" s="399" t="str">
        <f>INDEX(Matches!$B$4:$J$113,MATCH($F46,Matches!$B$4:$B$113,0),3)</f>
        <v>E3</v>
      </c>
      <c r="I46" s="399" t="str">
        <f>IFERROR(VLOOKUP($F46,Matches!$B$4:$H$113,7,0),"")</f>
        <v>Toronto</v>
      </c>
      <c r="J46" s="648"/>
      <c r="K46" s="649"/>
    </row>
    <row r="47" spans="1:11" x14ac:dyDescent="0.25">
      <c r="A47" s="4"/>
      <c r="B47" s="395">
        <f>INDEX(Matches!$B$4:$J$113,MATCH($F47,Matches!$B$4:$B$113,0),5)</f>
        <v>46194.083333333336</v>
      </c>
      <c r="C47" s="396">
        <f>INDEX(Matches!$B$4:$J$113,MATCH($F47,Matches!$B$4:$B$113,0),5)</f>
        <v>46194.083333333336</v>
      </c>
      <c r="D47" s="397" t="str">
        <f>INDEX(Matches!$B$4:$J$113,MATCH($F47,Matches!$B$4:$B$113,0),8)</f>
        <v>Ecuador</v>
      </c>
      <c r="E47" s="397" t="str">
        <f>INDEX(Matches!$B$4:$J$113,MATCH($F47,Matches!$B$4:$B$113,0),9)</f>
        <v>Curaçao</v>
      </c>
      <c r="F47" s="400">
        <v>34</v>
      </c>
      <c r="G47" s="399" t="str">
        <f>INDEX(Matches!$B$4:$J$113,MATCH($F47,Matches!$B$4:$B$113,0),2)</f>
        <v>E4</v>
      </c>
      <c r="H47" s="399" t="str">
        <f>INDEX(Matches!$B$4:$J$113,MATCH($F47,Matches!$B$4:$B$113,0),3)</f>
        <v>E2</v>
      </c>
      <c r="I47" s="399" t="str">
        <f>IFERROR(VLOOKUP($F47,Matches!$B$4:$H$113,7,0),"")</f>
        <v>Kansas City</v>
      </c>
      <c r="J47" s="648"/>
      <c r="K47" s="649"/>
    </row>
    <row r="48" spans="1:11" x14ac:dyDescent="0.25">
      <c r="A48" s="4"/>
      <c r="B48" s="395">
        <f>INDEX(Matches!$B$4:$J$113,MATCH($F48,Matches!$B$4:$B$113,0),5)</f>
        <v>46194.25</v>
      </c>
      <c r="C48" s="396">
        <f>INDEX(Matches!$B$4:$J$113,MATCH($F48,Matches!$B$4:$B$113,0),5)</f>
        <v>46194.25</v>
      </c>
      <c r="D48" s="397" t="str">
        <f>INDEX(Matches!$B$4:$J$113,MATCH($F48,Matches!$B$4:$B$113,0),8)</f>
        <v>Tunesien</v>
      </c>
      <c r="E48" s="397" t="str">
        <f>INDEX(Matches!$B$4:$J$113,MATCH($F48,Matches!$B$4:$B$113,0),9)</f>
        <v>Japan</v>
      </c>
      <c r="F48" s="400">
        <v>36</v>
      </c>
      <c r="G48" s="399" t="str">
        <f>INDEX(Matches!$B$4:$J$113,MATCH($F48,Matches!$B$4:$B$113,0),2)</f>
        <v>F4</v>
      </c>
      <c r="H48" s="399" t="str">
        <f>INDEX(Matches!$B$4:$J$113,MATCH($F48,Matches!$B$4:$B$113,0),3)</f>
        <v>F2</v>
      </c>
      <c r="I48" s="399" t="str">
        <f>IFERROR(VLOOKUP($F48,Matches!$B$4:$H$113,7,0),"")</f>
        <v>Monterrey</v>
      </c>
      <c r="J48" s="648"/>
      <c r="K48" s="649"/>
    </row>
    <row r="49" spans="1:11" x14ac:dyDescent="0.25">
      <c r="A49" s="4"/>
      <c r="B49" s="401"/>
      <c r="C49" s="402"/>
      <c r="D49" s="403"/>
      <c r="E49" s="403"/>
      <c r="F49" s="404"/>
      <c r="G49" s="405"/>
      <c r="H49" s="405"/>
      <c r="I49" s="405"/>
      <c r="J49" s="405"/>
      <c r="K49" s="406"/>
    </row>
    <row r="50" spans="1:11" x14ac:dyDescent="0.25">
      <c r="A50" s="4"/>
      <c r="B50" s="395">
        <f>INDEX(Matches!$B$4:$J$113,MATCH($F50,Matches!$B$4:$B$113,0),5)</f>
        <v>46194.75</v>
      </c>
      <c r="C50" s="396">
        <f>INDEX(Matches!$B$4:$J$113,MATCH($F50,Matches!$B$4:$B$113,0),5)</f>
        <v>46194.75</v>
      </c>
      <c r="D50" s="397" t="str">
        <f>INDEX(Matches!$B$4:$J$113,MATCH($F50,Matches!$B$4:$B$113,0),8)</f>
        <v>Spanien</v>
      </c>
      <c r="E50" s="397" t="str">
        <f>INDEX(Matches!$B$4:$J$113,MATCH($F50,Matches!$B$4:$B$113,0),9)</f>
        <v>Saudiarabien</v>
      </c>
      <c r="F50" s="400">
        <v>38</v>
      </c>
      <c r="G50" s="399" t="str">
        <f>INDEX(Matches!$B$4:$J$113,MATCH($F50,Matches!$B$4:$B$113,0),2)</f>
        <v>H1</v>
      </c>
      <c r="H50" s="399" t="str">
        <f>INDEX(Matches!$B$4:$J$113,MATCH($F50,Matches!$B$4:$B$113,0),3)</f>
        <v>H3</v>
      </c>
      <c r="I50" s="399" t="str">
        <f>IFERROR(VLOOKUP($F50,Matches!$B$4:$H$113,7,0),"")</f>
        <v>Atlanta</v>
      </c>
      <c r="J50" s="648"/>
      <c r="K50" s="649"/>
    </row>
    <row r="51" spans="1:11" x14ac:dyDescent="0.25">
      <c r="A51" s="4"/>
      <c r="B51" s="395">
        <f>INDEX(Matches!$B$4:$J$113,MATCH($F51,Matches!$B$4:$B$113,0),5)</f>
        <v>46194.875</v>
      </c>
      <c r="C51" s="396">
        <f>INDEX(Matches!$B$4:$J$113,MATCH($F51,Matches!$B$4:$B$113,0),5)</f>
        <v>46194.875</v>
      </c>
      <c r="D51" s="397" t="str">
        <f>INDEX(Matches!$B$4:$J$113,MATCH($F51,Matches!$B$4:$B$113,0),8)</f>
        <v>Belgien</v>
      </c>
      <c r="E51" s="397" t="str">
        <f>INDEX(Matches!$B$4:$J$113,MATCH($F51,Matches!$B$4:$B$113,0),9)</f>
        <v>IR Iran</v>
      </c>
      <c r="F51" s="400">
        <v>39</v>
      </c>
      <c r="G51" s="399" t="str">
        <f>INDEX(Matches!$B$4:$J$113,MATCH($F51,Matches!$B$4:$B$113,0),2)</f>
        <v>G1</v>
      </c>
      <c r="H51" s="399" t="str">
        <f>INDEX(Matches!$B$4:$J$113,MATCH($F51,Matches!$B$4:$B$113,0),3)</f>
        <v>G3</v>
      </c>
      <c r="I51" s="399" t="str">
        <f>IFERROR(VLOOKUP($F51,Matches!$B$4:$H$113,7,0),"")</f>
        <v>Los Angeles</v>
      </c>
      <c r="J51" s="648"/>
      <c r="K51" s="649"/>
    </row>
    <row r="52" spans="1:11" x14ac:dyDescent="0.25">
      <c r="A52" s="4"/>
      <c r="B52" s="395">
        <f>INDEX(Matches!$B$4:$J$113,MATCH($F52,Matches!$B$4:$B$113,0),5)</f>
        <v>46195</v>
      </c>
      <c r="C52" s="396">
        <f>INDEX(Matches!$B$4:$J$113,MATCH($F52,Matches!$B$4:$B$113,0),5)</f>
        <v>46195</v>
      </c>
      <c r="D52" s="397" t="str">
        <f>INDEX(Matches!$B$4:$J$113,MATCH($F52,Matches!$B$4:$B$113,0),8)</f>
        <v>Uruguay</v>
      </c>
      <c r="E52" s="397" t="str">
        <f>INDEX(Matches!$B$4:$J$113,MATCH($F52,Matches!$B$4:$B$113,0),9)</f>
        <v>Kap Verde</v>
      </c>
      <c r="F52" s="400">
        <v>37</v>
      </c>
      <c r="G52" s="399" t="str">
        <f>INDEX(Matches!$B$4:$J$113,MATCH($F52,Matches!$B$4:$B$113,0),2)</f>
        <v>H4</v>
      </c>
      <c r="H52" s="399" t="str">
        <f>INDEX(Matches!$B$4:$J$113,MATCH($F52,Matches!$B$4:$B$113,0),3)</f>
        <v>H2</v>
      </c>
      <c r="I52" s="399" t="str">
        <f>IFERROR(VLOOKUP($F52,Matches!$B$4:$H$113,7,0),"")</f>
        <v>Miami</v>
      </c>
      <c r="J52" s="648"/>
      <c r="K52" s="649"/>
    </row>
    <row r="53" spans="1:11" x14ac:dyDescent="0.25">
      <c r="A53" s="4"/>
      <c r="B53" s="395">
        <f>INDEX(Matches!$B$4:$J$113,MATCH($F53,Matches!$B$4:$B$113,0),5)</f>
        <v>46195.125</v>
      </c>
      <c r="C53" s="396">
        <f>INDEX(Matches!$B$4:$J$113,MATCH($F53,Matches!$B$4:$B$113,0),5)</f>
        <v>46195.125</v>
      </c>
      <c r="D53" s="397" t="str">
        <f>INDEX(Matches!$B$4:$J$113,MATCH($F53,Matches!$B$4:$B$113,0),8)</f>
        <v>Neuseeland</v>
      </c>
      <c r="E53" s="397" t="str">
        <f>INDEX(Matches!$B$4:$J$113,MATCH($F53,Matches!$B$4:$B$113,0),9)</f>
        <v>Ägypten</v>
      </c>
      <c r="F53" s="400">
        <v>40</v>
      </c>
      <c r="G53" s="399" t="str">
        <f>INDEX(Matches!$B$4:$J$113,MATCH($F53,Matches!$B$4:$B$113,0),2)</f>
        <v>G4</v>
      </c>
      <c r="H53" s="399" t="str">
        <f>INDEX(Matches!$B$4:$J$113,MATCH($F53,Matches!$B$4:$B$113,0),3)</f>
        <v>G2</v>
      </c>
      <c r="I53" s="399" t="str">
        <f>IFERROR(VLOOKUP($F53,Matches!$B$4:$H$113,7,0),"")</f>
        <v>Vancouver</v>
      </c>
      <c r="J53" s="648"/>
      <c r="K53" s="649"/>
    </row>
    <row r="54" spans="1:11" x14ac:dyDescent="0.25">
      <c r="A54" s="4"/>
      <c r="B54" s="401"/>
      <c r="C54" s="402"/>
      <c r="D54" s="403"/>
      <c r="E54" s="403"/>
      <c r="F54" s="404"/>
      <c r="G54" s="405"/>
      <c r="H54" s="405"/>
      <c r="I54" s="405"/>
      <c r="J54" s="405"/>
      <c r="K54" s="406"/>
    </row>
    <row r="55" spans="1:11" x14ac:dyDescent="0.25">
      <c r="A55" s="4"/>
      <c r="B55" s="395">
        <f>INDEX(Matches!$B$4:$J$113,MATCH($F55,Matches!$B$4:$B$113,0),5)</f>
        <v>46195.791666666664</v>
      </c>
      <c r="C55" s="396">
        <f>INDEX(Matches!$B$4:$J$113,MATCH($F55,Matches!$B$4:$B$113,0),5)</f>
        <v>46195.791666666664</v>
      </c>
      <c r="D55" s="397" t="str">
        <f>INDEX(Matches!$B$4:$J$113,MATCH($F55,Matches!$B$4:$B$113,0),8)</f>
        <v>Argentinien</v>
      </c>
      <c r="E55" s="397" t="str">
        <f>INDEX(Matches!$B$4:$J$113,MATCH($F55,Matches!$B$4:$B$113,0),9)</f>
        <v>Österreich</v>
      </c>
      <c r="F55" s="400">
        <v>43</v>
      </c>
      <c r="G55" s="399" t="str">
        <f>INDEX(Matches!$B$4:$J$113,MATCH($F55,Matches!$B$4:$B$113,0),2)</f>
        <v>J1</v>
      </c>
      <c r="H55" s="399" t="str">
        <f>INDEX(Matches!$B$4:$J$113,MATCH($F55,Matches!$B$4:$B$113,0),3)</f>
        <v>J3</v>
      </c>
      <c r="I55" s="399" t="str">
        <f>IFERROR(VLOOKUP($F55,Matches!$B$4:$H$113,7,0),"")</f>
        <v>Dallas</v>
      </c>
      <c r="J55" s="648"/>
      <c r="K55" s="649"/>
    </row>
    <row r="56" spans="1:11" x14ac:dyDescent="0.25">
      <c r="A56" s="4"/>
      <c r="B56" s="395">
        <f>INDEX(Matches!$B$4:$J$113,MATCH($F56,Matches!$B$4:$B$113,0),5)</f>
        <v>46195.958333333336</v>
      </c>
      <c r="C56" s="396">
        <f>INDEX(Matches!$B$4:$J$113,MATCH($F56,Matches!$B$4:$B$113,0),5)</f>
        <v>46195.958333333336</v>
      </c>
      <c r="D56" s="397" t="str">
        <f>INDEX(Matches!$B$4:$J$113,MATCH($F56,Matches!$B$4:$B$113,0),8)</f>
        <v>Frankreich</v>
      </c>
      <c r="E56" s="397" t="str">
        <f>INDEX(Matches!$B$4:$J$113,MATCH($F56,Matches!$B$4:$B$113,0),9)</f>
        <v>Irak</v>
      </c>
      <c r="F56" s="400">
        <v>42</v>
      </c>
      <c r="G56" s="399" t="str">
        <f>INDEX(Matches!$B$4:$J$113,MATCH($F56,Matches!$B$4:$B$113,0),2)</f>
        <v>I1</v>
      </c>
      <c r="H56" s="399" t="str">
        <f>INDEX(Matches!$B$4:$J$113,MATCH($F56,Matches!$B$4:$B$113,0),3)</f>
        <v>I3</v>
      </c>
      <c r="I56" s="399" t="str">
        <f>IFERROR(VLOOKUP($F56,Matches!$B$4:$H$113,7,0),"")</f>
        <v>Philadelphia</v>
      </c>
      <c r="J56" s="648"/>
      <c r="K56" s="649"/>
    </row>
    <row r="57" spans="1:11" x14ac:dyDescent="0.25">
      <c r="A57" s="4"/>
      <c r="B57" s="395">
        <f>INDEX(Matches!$B$4:$J$113,MATCH($F57,Matches!$B$4:$B$113,0),5)</f>
        <v>46196.083333333336</v>
      </c>
      <c r="C57" s="396">
        <f>INDEX(Matches!$B$4:$J$113,MATCH($F57,Matches!$B$4:$B$113,0),5)</f>
        <v>46196.083333333336</v>
      </c>
      <c r="D57" s="397" t="str">
        <f>INDEX(Matches!$B$4:$J$113,MATCH($F57,Matches!$B$4:$B$113,0),8)</f>
        <v>Norwegen</v>
      </c>
      <c r="E57" s="397" t="str">
        <f>INDEX(Matches!$B$4:$J$113,MATCH($F57,Matches!$B$4:$B$113,0),9)</f>
        <v>Senegal</v>
      </c>
      <c r="F57" s="400">
        <v>41</v>
      </c>
      <c r="G57" s="399" t="str">
        <f>INDEX(Matches!$B$4:$J$113,MATCH($F57,Matches!$B$4:$B$113,0),2)</f>
        <v>I4</v>
      </c>
      <c r="H57" s="399" t="str">
        <f>INDEX(Matches!$B$4:$J$113,MATCH($F57,Matches!$B$4:$B$113,0),3)</f>
        <v>I2</v>
      </c>
      <c r="I57" s="399" t="str">
        <f>IFERROR(VLOOKUP($F57,Matches!$B$4:$H$113,7,0),"")</f>
        <v>New York/New Jersey</v>
      </c>
      <c r="J57" s="648"/>
      <c r="K57" s="649"/>
    </row>
    <row r="58" spans="1:11" x14ac:dyDescent="0.25">
      <c r="A58" s="4"/>
      <c r="B58" s="395">
        <f>INDEX(Matches!$B$4:$J$113,MATCH($F58,Matches!$B$4:$B$113,0),5)</f>
        <v>46196.208333333336</v>
      </c>
      <c r="C58" s="396">
        <f>INDEX(Matches!$B$4:$J$113,MATCH($F58,Matches!$B$4:$B$113,0),5)</f>
        <v>46196.208333333336</v>
      </c>
      <c r="D58" s="397" t="str">
        <f>INDEX(Matches!$B$4:$J$113,MATCH($F58,Matches!$B$4:$B$113,0),8)</f>
        <v>Jordanien</v>
      </c>
      <c r="E58" s="397" t="str">
        <f>INDEX(Matches!$B$4:$J$113,MATCH($F58,Matches!$B$4:$B$113,0),9)</f>
        <v>Algerien</v>
      </c>
      <c r="F58" s="400">
        <v>44</v>
      </c>
      <c r="G58" s="399" t="str">
        <f>INDEX(Matches!$B$4:$J$113,MATCH($F58,Matches!$B$4:$B$113,0),2)</f>
        <v>J4</v>
      </c>
      <c r="H58" s="399" t="str">
        <f>INDEX(Matches!$B$4:$J$113,MATCH($F58,Matches!$B$4:$B$113,0),3)</f>
        <v>J2</v>
      </c>
      <c r="I58" s="399" t="str">
        <f>IFERROR(VLOOKUP($F58,Matches!$B$4:$H$113,7,0),"")</f>
        <v>San Francisco Bay Area</v>
      </c>
      <c r="J58" s="648"/>
      <c r="K58" s="649"/>
    </row>
    <row r="59" spans="1:11" x14ac:dyDescent="0.25">
      <c r="A59" s="4"/>
      <c r="B59" s="401"/>
      <c r="C59" s="402"/>
      <c r="D59" s="403"/>
      <c r="E59" s="403"/>
      <c r="F59" s="404"/>
      <c r="G59" s="405"/>
      <c r="H59" s="405"/>
      <c r="I59" s="405"/>
      <c r="J59" s="405"/>
      <c r="K59" s="406"/>
    </row>
    <row r="60" spans="1:11" x14ac:dyDescent="0.25">
      <c r="A60" s="4"/>
      <c r="B60" s="395">
        <f>INDEX(Matches!$B$4:$J$113,MATCH($F60,Matches!$B$4:$B$113,0),5)</f>
        <v>46196.791666666664</v>
      </c>
      <c r="C60" s="396">
        <f>INDEX(Matches!$B$4:$J$113,MATCH($F60,Matches!$B$4:$B$113,0),5)</f>
        <v>46196.791666666664</v>
      </c>
      <c r="D60" s="397" t="str">
        <f>INDEX(Matches!$B$4:$J$113,MATCH($F60,Matches!$B$4:$B$113,0),8)</f>
        <v>Portugal</v>
      </c>
      <c r="E60" s="397" t="str">
        <f>INDEX(Matches!$B$4:$J$113,MATCH($F60,Matches!$B$4:$B$113,0),9)</f>
        <v>Usbekistan</v>
      </c>
      <c r="F60" s="400">
        <v>47</v>
      </c>
      <c r="G60" s="399" t="str">
        <f>INDEX(Matches!$B$4:$J$113,MATCH($F60,Matches!$B$4:$B$113,0),2)</f>
        <v>K1</v>
      </c>
      <c r="H60" s="399" t="str">
        <f>INDEX(Matches!$B$4:$J$113,MATCH($F60,Matches!$B$4:$B$113,0),3)</f>
        <v>K3</v>
      </c>
      <c r="I60" s="399" t="str">
        <f>IFERROR(VLOOKUP($F60,Matches!$B$4:$H$113,7,0),"")</f>
        <v>Houston</v>
      </c>
      <c r="J60" s="648"/>
      <c r="K60" s="649"/>
    </row>
    <row r="61" spans="1:11" x14ac:dyDescent="0.25">
      <c r="A61" s="4"/>
      <c r="B61" s="395">
        <f>INDEX(Matches!$B$4:$J$113,MATCH($F61,Matches!$B$4:$B$113,0),5)</f>
        <v>46196.916666666664</v>
      </c>
      <c r="C61" s="396">
        <f>INDEX(Matches!$B$4:$J$113,MATCH($F61,Matches!$B$4:$B$113,0),5)</f>
        <v>46196.916666666664</v>
      </c>
      <c r="D61" s="397" t="str">
        <f>INDEX(Matches!$B$4:$J$113,MATCH($F61,Matches!$B$4:$B$113,0),8)</f>
        <v>England</v>
      </c>
      <c r="E61" s="397" t="str">
        <f>INDEX(Matches!$B$4:$J$113,MATCH($F61,Matches!$B$4:$B$113,0),9)</f>
        <v>Ghana</v>
      </c>
      <c r="F61" s="400">
        <v>45</v>
      </c>
      <c r="G61" s="399" t="str">
        <f>INDEX(Matches!$B$4:$J$113,MATCH($F61,Matches!$B$4:$B$113,0),2)</f>
        <v>L1</v>
      </c>
      <c r="H61" s="399" t="str">
        <f>INDEX(Matches!$B$4:$J$113,MATCH($F61,Matches!$B$4:$B$113,0),3)</f>
        <v>L3</v>
      </c>
      <c r="I61" s="399" t="str">
        <f>IFERROR(VLOOKUP($F61,Matches!$B$4:$H$113,7,0),"")</f>
        <v>Boston</v>
      </c>
      <c r="J61" s="648"/>
      <c r="K61" s="649"/>
    </row>
    <row r="62" spans="1:11" x14ac:dyDescent="0.25">
      <c r="A62" s="4"/>
      <c r="B62" s="395">
        <f>INDEX(Matches!$B$4:$J$113,MATCH($F62,Matches!$B$4:$B$113,0),5)</f>
        <v>46197.041666666664</v>
      </c>
      <c r="C62" s="396">
        <f>INDEX(Matches!$B$4:$J$113,MATCH($F62,Matches!$B$4:$B$113,0),5)</f>
        <v>46197.041666666664</v>
      </c>
      <c r="D62" s="397" t="str">
        <f>INDEX(Matches!$B$4:$J$113,MATCH($F62,Matches!$B$4:$B$113,0),8)</f>
        <v>Panama</v>
      </c>
      <c r="E62" s="397" t="str">
        <f>INDEX(Matches!$B$4:$J$113,MATCH($F62,Matches!$B$4:$B$113,0),9)</f>
        <v>Kroatien</v>
      </c>
      <c r="F62" s="400">
        <v>46</v>
      </c>
      <c r="G62" s="399" t="str">
        <f>INDEX(Matches!$B$4:$J$113,MATCH($F62,Matches!$B$4:$B$113,0),2)</f>
        <v>L4</v>
      </c>
      <c r="H62" s="399" t="str">
        <f>INDEX(Matches!$B$4:$J$113,MATCH($F62,Matches!$B$4:$B$113,0),3)</f>
        <v>L2</v>
      </c>
      <c r="I62" s="399" t="str">
        <f>IFERROR(VLOOKUP($F62,Matches!$B$4:$H$113,7,0),"")</f>
        <v>Toronto</v>
      </c>
      <c r="J62" s="648"/>
      <c r="K62" s="649"/>
    </row>
    <row r="63" spans="1:11" x14ac:dyDescent="0.25">
      <c r="A63" s="4"/>
      <c r="B63" s="395">
        <f>INDEX(Matches!$B$4:$J$113,MATCH($F63,Matches!$B$4:$B$113,0),5)</f>
        <v>46197.166666666664</v>
      </c>
      <c r="C63" s="396">
        <f>INDEX(Matches!$B$4:$J$113,MATCH($F63,Matches!$B$4:$B$113,0),5)</f>
        <v>46197.166666666664</v>
      </c>
      <c r="D63" s="397" t="str">
        <f>INDEX(Matches!$B$4:$J$113,MATCH($F63,Matches!$B$4:$B$113,0),8)</f>
        <v>Kolumbien</v>
      </c>
      <c r="E63" s="397" t="str">
        <f>INDEX(Matches!$B$4:$J$113,MATCH($F63,Matches!$B$4:$B$113,0),9)</f>
        <v>DR Kongo</v>
      </c>
      <c r="F63" s="400">
        <v>48</v>
      </c>
      <c r="G63" s="399" t="str">
        <f>INDEX(Matches!$B$4:$J$113,MATCH($F63,Matches!$B$4:$B$113,0),2)</f>
        <v>K4</v>
      </c>
      <c r="H63" s="399" t="str">
        <f>INDEX(Matches!$B$4:$J$113,MATCH($F63,Matches!$B$4:$B$113,0),3)</f>
        <v>K2</v>
      </c>
      <c r="I63" s="399" t="str">
        <f>IFERROR(VLOOKUP($F63,Matches!$B$4:$H$113,7,0),"")</f>
        <v>Guadalajara</v>
      </c>
      <c r="J63" s="648"/>
      <c r="K63" s="649"/>
    </row>
    <row r="64" spans="1:11" x14ac:dyDescent="0.25">
      <c r="A64" s="415"/>
      <c r="B64" s="401"/>
      <c r="C64" s="402"/>
      <c r="D64" s="403"/>
      <c r="E64" s="403"/>
      <c r="F64" s="404"/>
      <c r="G64" s="405"/>
      <c r="H64" s="405"/>
      <c r="I64" s="405"/>
      <c r="J64" s="405"/>
      <c r="K64" s="406"/>
    </row>
    <row r="65" spans="1:11" x14ac:dyDescent="0.25">
      <c r="A65" s="4"/>
      <c r="B65" s="395">
        <f>INDEX(Matches!$B$4:$J$113,MATCH($F65,Matches!$B$4:$B$113,0),5)</f>
        <v>46197.875</v>
      </c>
      <c r="C65" s="396">
        <f>INDEX(Matches!$B$4:$J$113,MATCH($F65,Matches!$B$4:$B$113,0),5)</f>
        <v>46197.875</v>
      </c>
      <c r="D65" s="397" t="str">
        <f>INDEX(Matches!$B$4:$J$113,MATCH($F65,Matches!$B$4:$B$113,0),8)</f>
        <v>Schweiz</v>
      </c>
      <c r="E65" s="397" t="str">
        <f>INDEX(Matches!$B$4:$J$113,MATCH($F65,Matches!$B$4:$B$113,0),9)</f>
        <v>Kanada</v>
      </c>
      <c r="F65" s="400">
        <v>51</v>
      </c>
      <c r="G65" s="399" t="str">
        <f>INDEX(Matches!$B$4:$J$113,MATCH($F65,Matches!$B$4:$B$113,0),2)</f>
        <v>B4</v>
      </c>
      <c r="H65" s="399" t="str">
        <f>INDEX(Matches!$B$4:$J$113,MATCH($F65,Matches!$B$4:$B$113,0),3)</f>
        <v>B1</v>
      </c>
      <c r="I65" s="399" t="str">
        <f>IFERROR(VLOOKUP($F65,Matches!$B$4:$H$113,7,0),"")</f>
        <v>Vancouver</v>
      </c>
      <c r="J65" s="648"/>
      <c r="K65" s="649"/>
    </row>
    <row r="66" spans="1:11" x14ac:dyDescent="0.25">
      <c r="A66" s="4"/>
      <c r="B66" s="395">
        <f>INDEX(Matches!$B$4:$J$113,MATCH($F66,Matches!$B$4:$B$113,0),5)</f>
        <v>46197.875</v>
      </c>
      <c r="C66" s="396">
        <f>INDEX(Matches!$B$4:$J$113,MATCH($F66,Matches!$B$4:$B$113,0),5)</f>
        <v>46197.875</v>
      </c>
      <c r="D66" s="397" t="str">
        <f>INDEX(Matches!$B$4:$J$113,MATCH($F66,Matches!$B$4:$B$113,0),8)</f>
        <v>Bosnien/Herzeg.</v>
      </c>
      <c r="E66" s="397" t="str">
        <f>INDEX(Matches!$B$4:$J$113,MATCH($F66,Matches!$B$4:$B$113,0),9)</f>
        <v>Katar</v>
      </c>
      <c r="F66" s="400">
        <v>52</v>
      </c>
      <c r="G66" s="399" t="str">
        <f>INDEX(Matches!$B$4:$J$113,MATCH($F66,Matches!$B$4:$B$113,0),2)</f>
        <v>B2</v>
      </c>
      <c r="H66" s="399" t="str">
        <f>INDEX(Matches!$B$4:$J$113,MATCH($F66,Matches!$B$4:$B$113,0),3)</f>
        <v>B3</v>
      </c>
      <c r="I66" s="399" t="str">
        <f>IFERROR(VLOOKUP($F66,Matches!$B$4:$H$113,7,0),"")</f>
        <v>Seattle</v>
      </c>
      <c r="J66" s="648"/>
      <c r="K66" s="649"/>
    </row>
    <row r="67" spans="1:11" x14ac:dyDescent="0.25">
      <c r="A67" s="4"/>
      <c r="B67" s="395">
        <f>INDEX(Matches!$B$4:$J$113,MATCH($F67,Matches!$B$4:$B$113,0),5)</f>
        <v>46198</v>
      </c>
      <c r="C67" s="396">
        <f>INDEX(Matches!$B$4:$J$113,MATCH($F67,Matches!$B$4:$B$113,0),5)</f>
        <v>46198</v>
      </c>
      <c r="D67" s="397" t="str">
        <f>INDEX(Matches!$B$4:$J$113,MATCH($F67,Matches!$B$4:$B$113,0),8)</f>
        <v>Schottland</v>
      </c>
      <c r="E67" s="397" t="str">
        <f>INDEX(Matches!$B$4:$J$113,MATCH($F67,Matches!$B$4:$B$113,0),9)</f>
        <v>Brasilien</v>
      </c>
      <c r="F67" s="400">
        <v>49</v>
      </c>
      <c r="G67" s="399" t="str">
        <f>INDEX(Matches!$B$4:$J$113,MATCH($F67,Matches!$B$4:$B$113,0),2)</f>
        <v>C4</v>
      </c>
      <c r="H67" s="399" t="str">
        <f>INDEX(Matches!$B$4:$J$113,MATCH($F67,Matches!$B$4:$B$113,0),3)</f>
        <v>C1</v>
      </c>
      <c r="I67" s="399" t="str">
        <f>IFERROR(VLOOKUP($F67,Matches!$B$4:$H$113,7,0),"")</f>
        <v>Miami</v>
      </c>
      <c r="J67" s="648"/>
      <c r="K67" s="649"/>
    </row>
    <row r="68" spans="1:11" x14ac:dyDescent="0.25">
      <c r="A68" s="4"/>
      <c r="B68" s="395">
        <f>INDEX(Matches!$B$4:$J$113,MATCH($F68,Matches!$B$4:$B$113,0),5)</f>
        <v>46198</v>
      </c>
      <c r="C68" s="396">
        <f>INDEX(Matches!$B$4:$J$113,MATCH($F68,Matches!$B$4:$B$113,0),5)</f>
        <v>46198</v>
      </c>
      <c r="D68" s="397" t="str">
        <f>INDEX(Matches!$B$4:$J$113,MATCH($F68,Matches!$B$4:$B$113,0),8)</f>
        <v>Marokko</v>
      </c>
      <c r="E68" s="397" t="str">
        <f>INDEX(Matches!$B$4:$J$113,MATCH($F68,Matches!$B$4:$B$113,0),9)</f>
        <v>Haiti</v>
      </c>
      <c r="F68" s="400">
        <v>50</v>
      </c>
      <c r="G68" s="399" t="str">
        <f>INDEX(Matches!$B$4:$J$113,MATCH($F68,Matches!$B$4:$B$113,0),2)</f>
        <v>C2</v>
      </c>
      <c r="H68" s="399" t="str">
        <f>INDEX(Matches!$B$4:$J$113,MATCH($F68,Matches!$B$4:$B$113,0),3)</f>
        <v>C3</v>
      </c>
      <c r="I68" s="399" t="str">
        <f>IFERROR(VLOOKUP($F68,Matches!$B$4:$H$113,7,0),"")</f>
        <v>Atlanta</v>
      </c>
      <c r="J68" s="648"/>
      <c r="K68" s="649"/>
    </row>
    <row r="69" spans="1:11" x14ac:dyDescent="0.25">
      <c r="A69" s="4"/>
      <c r="B69" s="395">
        <f>INDEX(Matches!$B$4:$J$113,MATCH($F69,Matches!$B$4:$B$113,0),5)</f>
        <v>46198.125</v>
      </c>
      <c r="C69" s="396">
        <f>INDEX(Matches!$B$4:$J$113,MATCH($F69,Matches!$B$4:$B$113,0),5)</f>
        <v>46198.125</v>
      </c>
      <c r="D69" s="397" t="str">
        <f>INDEX(Matches!$B$4:$J$113,MATCH($F69,Matches!$B$4:$B$113,0),8)</f>
        <v>Tschechien</v>
      </c>
      <c r="E69" s="397" t="str">
        <f>INDEX(Matches!$B$4:$J$113,MATCH($F69,Matches!$B$4:$B$113,0),9)</f>
        <v>Mexiko</v>
      </c>
      <c r="F69" s="400">
        <v>53</v>
      </c>
      <c r="G69" s="399" t="str">
        <f>INDEX(Matches!$B$4:$J$113,MATCH($F69,Matches!$B$4:$B$113,0),2)</f>
        <v>A4</v>
      </c>
      <c r="H69" s="399" t="str">
        <f>INDEX(Matches!$B$4:$J$113,MATCH($F69,Matches!$B$4:$B$113,0),3)</f>
        <v>A1</v>
      </c>
      <c r="I69" s="399" t="str">
        <f>IFERROR(VLOOKUP($F69,Matches!$B$4:$H$113,7,0),"")</f>
        <v>Mexico City</v>
      </c>
      <c r="J69" s="648"/>
      <c r="K69" s="649"/>
    </row>
    <row r="70" spans="1:11" x14ac:dyDescent="0.25">
      <c r="A70" s="4"/>
      <c r="B70" s="395">
        <f>INDEX(Matches!$B$4:$J$113,MATCH($F70,Matches!$B$4:$B$113,0),5)</f>
        <v>46198.125</v>
      </c>
      <c r="C70" s="396">
        <f>INDEX(Matches!$B$4:$J$113,MATCH($F70,Matches!$B$4:$B$113,0),5)</f>
        <v>46198.125</v>
      </c>
      <c r="D70" s="397" t="str">
        <f>INDEX(Matches!$B$4:$J$113,MATCH($F70,Matches!$B$4:$B$113,0),8)</f>
        <v>Südafrika</v>
      </c>
      <c r="E70" s="397" t="str">
        <f>INDEX(Matches!$B$4:$J$113,MATCH($F70,Matches!$B$4:$B$113,0),9)</f>
        <v>Südkorea</v>
      </c>
      <c r="F70" s="400">
        <v>54</v>
      </c>
      <c r="G70" s="399" t="str">
        <f>INDEX(Matches!$B$4:$J$113,MATCH($F70,Matches!$B$4:$B$113,0),2)</f>
        <v>A2</v>
      </c>
      <c r="H70" s="399" t="str">
        <f>INDEX(Matches!$B$4:$J$113,MATCH($F70,Matches!$B$4:$B$113,0),3)</f>
        <v>A3</v>
      </c>
      <c r="I70" s="399" t="str">
        <f>IFERROR(VLOOKUP($F70,Matches!$B$4:$H$113,7,0),"")</f>
        <v>Monterrey</v>
      </c>
      <c r="J70" s="648"/>
      <c r="K70" s="649"/>
    </row>
    <row r="71" spans="1:11" x14ac:dyDescent="0.25">
      <c r="A71" s="4"/>
      <c r="B71" s="401"/>
      <c r="C71" s="402"/>
      <c r="D71" s="403"/>
      <c r="E71" s="403"/>
      <c r="F71" s="404"/>
      <c r="G71" s="405"/>
      <c r="H71" s="405"/>
      <c r="I71" s="405"/>
      <c r="J71" s="405"/>
      <c r="K71" s="406"/>
    </row>
    <row r="72" spans="1:11" x14ac:dyDescent="0.25">
      <c r="A72" s="4"/>
      <c r="B72" s="395">
        <f>INDEX(Matches!$B$4:$J$113,MATCH($F72,Matches!$B$4:$B$113,0),5)</f>
        <v>46198.916666666664</v>
      </c>
      <c r="C72" s="396">
        <f>INDEX(Matches!$B$4:$J$113,MATCH($F72,Matches!$B$4:$B$113,0),5)</f>
        <v>46198.916666666664</v>
      </c>
      <c r="D72" s="397" t="str">
        <f>INDEX(Matches!$B$4:$J$113,MATCH($F72,Matches!$B$4:$B$113,0),8)</f>
        <v>Curaçao</v>
      </c>
      <c r="E72" s="397" t="str">
        <f>INDEX(Matches!$B$4:$J$113,MATCH($F72,Matches!$B$4:$B$113,0),9)</f>
        <v>Elfenbeinküste</v>
      </c>
      <c r="F72" s="400">
        <v>55</v>
      </c>
      <c r="G72" s="399" t="str">
        <f>INDEX(Matches!$B$4:$J$113,MATCH($F72,Matches!$B$4:$B$113,0),2)</f>
        <v>E2</v>
      </c>
      <c r="H72" s="399" t="str">
        <f>INDEX(Matches!$B$4:$J$113,MATCH($F72,Matches!$B$4:$B$113,0),3)</f>
        <v>E3</v>
      </c>
      <c r="I72" s="399" t="str">
        <f>IFERROR(VLOOKUP($F72,Matches!$B$4:$H$113,7,0),"")</f>
        <v>Philadelphia</v>
      </c>
      <c r="J72" s="648"/>
      <c r="K72" s="649"/>
    </row>
    <row r="73" spans="1:11" x14ac:dyDescent="0.25">
      <c r="A73" s="4"/>
      <c r="B73" s="395">
        <f>INDEX(Matches!$B$4:$J$113,MATCH($F73,Matches!$B$4:$B$113,0),5)</f>
        <v>46198.916666666664</v>
      </c>
      <c r="C73" s="396">
        <f>INDEX(Matches!$B$4:$J$113,MATCH($F73,Matches!$B$4:$B$113,0),5)</f>
        <v>46198.916666666664</v>
      </c>
      <c r="D73" s="397" t="str">
        <f>INDEX(Matches!$B$4:$J$113,MATCH($F73,Matches!$B$4:$B$113,0),8)</f>
        <v>Ecuador</v>
      </c>
      <c r="E73" s="397" t="str">
        <f>INDEX(Matches!$B$4:$J$113,MATCH($F73,Matches!$B$4:$B$113,0),9)</f>
        <v>Deutschland</v>
      </c>
      <c r="F73" s="400">
        <v>56</v>
      </c>
      <c r="G73" s="399" t="str">
        <f>INDEX(Matches!$B$4:$J$113,MATCH($F73,Matches!$B$4:$B$113,0),2)</f>
        <v>E4</v>
      </c>
      <c r="H73" s="399" t="str">
        <f>INDEX(Matches!$B$4:$J$113,MATCH($F73,Matches!$B$4:$B$113,0),3)</f>
        <v>E1</v>
      </c>
      <c r="I73" s="399" t="str">
        <f>IFERROR(VLOOKUP($F73,Matches!$B$4:$H$113,7,0),"")</f>
        <v>New York/New Jersey</v>
      </c>
      <c r="J73" s="648"/>
      <c r="K73" s="649"/>
    </row>
    <row r="74" spans="1:11" x14ac:dyDescent="0.25">
      <c r="A74" s="415"/>
      <c r="B74" s="395">
        <f>INDEX(Matches!$B$4:$J$113,MATCH($F74,Matches!$B$4:$B$113,0),5)</f>
        <v>46199.041666666664</v>
      </c>
      <c r="C74" s="396">
        <f>INDEX(Matches!$B$4:$J$113,MATCH($F74,Matches!$B$4:$B$113,0),5)</f>
        <v>46199.041666666664</v>
      </c>
      <c r="D74" s="397" t="str">
        <f>INDEX(Matches!$B$4:$J$113,MATCH($F74,Matches!$B$4:$B$113,0),8)</f>
        <v>Japan</v>
      </c>
      <c r="E74" s="397" t="str">
        <f>INDEX(Matches!$B$4:$J$113,MATCH($F74,Matches!$B$4:$B$113,0),9)</f>
        <v>Schweden</v>
      </c>
      <c r="F74" s="400">
        <v>57</v>
      </c>
      <c r="G74" s="399" t="str">
        <f>INDEX(Matches!$B$4:$J$113,MATCH($F74,Matches!$B$4:$B$113,0),2)</f>
        <v>F2</v>
      </c>
      <c r="H74" s="399" t="str">
        <f>INDEX(Matches!$B$4:$J$113,MATCH($F74,Matches!$B$4:$B$113,0),3)</f>
        <v>F3</v>
      </c>
      <c r="I74" s="399" t="str">
        <f>IFERROR(VLOOKUP($F74,Matches!$B$4:$H$113,7,0),"")</f>
        <v>Dallas</v>
      </c>
      <c r="J74" s="648"/>
      <c r="K74" s="649"/>
    </row>
    <row r="75" spans="1:11" x14ac:dyDescent="0.25">
      <c r="A75" s="415"/>
      <c r="B75" s="395">
        <f>INDEX(Matches!$B$4:$J$113,MATCH($F75,Matches!$B$4:$B$113,0),5)</f>
        <v>46199.041666666664</v>
      </c>
      <c r="C75" s="396">
        <f>INDEX(Matches!$B$4:$J$113,MATCH($F75,Matches!$B$4:$B$113,0),5)</f>
        <v>46199.041666666664</v>
      </c>
      <c r="D75" s="397" t="str">
        <f>INDEX(Matches!$B$4:$J$113,MATCH($F75,Matches!$B$4:$B$113,0),8)</f>
        <v>Tunesien</v>
      </c>
      <c r="E75" s="397" t="str">
        <f>INDEX(Matches!$B$4:$J$113,MATCH($F75,Matches!$B$4:$B$113,0),9)</f>
        <v>Niederlande</v>
      </c>
      <c r="F75" s="400">
        <v>58</v>
      </c>
      <c r="G75" s="399" t="str">
        <f>INDEX(Matches!$B$4:$J$113,MATCH($F75,Matches!$B$4:$B$113,0),2)</f>
        <v>F4</v>
      </c>
      <c r="H75" s="399" t="str">
        <f>INDEX(Matches!$B$4:$J$113,MATCH($F75,Matches!$B$4:$B$113,0),3)</f>
        <v>F1</v>
      </c>
      <c r="I75" s="399" t="str">
        <f>IFERROR(VLOOKUP($F75,Matches!$B$4:$H$113,7,0),"")</f>
        <v>Kansas City</v>
      </c>
      <c r="J75" s="648"/>
      <c r="K75" s="649"/>
    </row>
    <row r="76" spans="1:11" x14ac:dyDescent="0.25">
      <c r="A76" s="415"/>
      <c r="B76" s="395">
        <f>INDEX(Matches!$B$4:$J$113,MATCH($F76,Matches!$B$4:$B$113,0),5)</f>
        <v>46199.166666666664</v>
      </c>
      <c r="C76" s="396">
        <f>INDEX(Matches!$B$4:$J$113,MATCH($F76,Matches!$B$4:$B$113,0),5)</f>
        <v>46199.166666666664</v>
      </c>
      <c r="D76" s="397" t="str">
        <f>INDEX(Matches!$B$4:$J$113,MATCH($F76,Matches!$B$4:$B$113,0),8)</f>
        <v>Türkei</v>
      </c>
      <c r="E76" s="397" t="str">
        <f>INDEX(Matches!$B$4:$J$113,MATCH($F76,Matches!$B$4:$B$113,0),9)</f>
        <v>USA</v>
      </c>
      <c r="F76" s="400">
        <v>59</v>
      </c>
      <c r="G76" s="399" t="str">
        <f>INDEX(Matches!$B$4:$J$113,MATCH($F76,Matches!$B$4:$B$113,0),2)</f>
        <v>D4</v>
      </c>
      <c r="H76" s="399" t="str">
        <f>INDEX(Matches!$B$4:$J$113,MATCH($F76,Matches!$B$4:$B$113,0),3)</f>
        <v>D1</v>
      </c>
      <c r="I76" s="399" t="str">
        <f>IFERROR(VLOOKUP($F76,Matches!$B$4:$H$113,7,0),"")</f>
        <v>Los Angeles</v>
      </c>
      <c r="J76" s="648"/>
      <c r="K76" s="649"/>
    </row>
    <row r="77" spans="1:11" x14ac:dyDescent="0.25">
      <c r="A77" s="415"/>
      <c r="B77" s="395">
        <f>INDEX(Matches!$B$4:$J$113,MATCH($F77,Matches!$B$4:$B$113,0),5)</f>
        <v>46199.166666666664</v>
      </c>
      <c r="C77" s="396">
        <f>INDEX(Matches!$B$4:$J$113,MATCH($F77,Matches!$B$4:$B$113,0),5)</f>
        <v>46199.166666666664</v>
      </c>
      <c r="D77" s="397" t="str">
        <f>INDEX(Matches!$B$4:$J$113,MATCH($F77,Matches!$B$4:$B$113,0),8)</f>
        <v>Paraguay</v>
      </c>
      <c r="E77" s="397" t="str">
        <f>INDEX(Matches!$B$4:$J$113,MATCH($F77,Matches!$B$4:$B$113,0),9)</f>
        <v>Australien</v>
      </c>
      <c r="F77" s="400">
        <v>60</v>
      </c>
      <c r="G77" s="399" t="str">
        <f>INDEX(Matches!$B$4:$J$113,MATCH($F77,Matches!$B$4:$B$113,0),2)</f>
        <v>D2</v>
      </c>
      <c r="H77" s="399" t="str">
        <f>INDEX(Matches!$B$4:$J$113,MATCH($F77,Matches!$B$4:$B$113,0),3)</f>
        <v>D3</v>
      </c>
      <c r="I77" s="399" t="str">
        <f>IFERROR(VLOOKUP($F77,Matches!$B$4:$H$113,7,0),"")</f>
        <v>San Francisco Bay Area</v>
      </c>
      <c r="J77" s="648"/>
      <c r="K77" s="649"/>
    </row>
    <row r="78" spans="1:11" x14ac:dyDescent="0.25">
      <c r="A78" s="415"/>
      <c r="B78" s="401"/>
      <c r="C78" s="402"/>
      <c r="D78" s="403"/>
      <c r="E78" s="403"/>
      <c r="F78" s="404"/>
      <c r="G78" s="405"/>
      <c r="H78" s="405"/>
      <c r="I78" s="405"/>
      <c r="J78" s="405"/>
      <c r="K78" s="406"/>
    </row>
    <row r="79" spans="1:11" x14ac:dyDescent="0.25">
      <c r="A79" s="415"/>
      <c r="B79" s="395">
        <f>INDEX(Matches!$B$4:$J$113,MATCH($F79,Matches!$B$4:$B$113,0),5)</f>
        <v>46199.875</v>
      </c>
      <c r="C79" s="396">
        <f>INDEX(Matches!$B$4:$J$113,MATCH($F79,Matches!$B$4:$B$113,0),5)</f>
        <v>46199.875</v>
      </c>
      <c r="D79" s="397" t="str">
        <f>INDEX(Matches!$B$4:$J$113,MATCH($F79,Matches!$B$4:$B$113,0),8)</f>
        <v>Norwegen</v>
      </c>
      <c r="E79" s="397" t="str">
        <f>INDEX(Matches!$B$4:$J$113,MATCH($F79,Matches!$B$4:$B$113,0),9)</f>
        <v>Frankreich</v>
      </c>
      <c r="F79" s="400">
        <v>61</v>
      </c>
      <c r="G79" s="399" t="str">
        <f>INDEX(Matches!$B$4:$J$113,MATCH($F79,Matches!$B$4:$B$113,0),2)</f>
        <v>I4</v>
      </c>
      <c r="H79" s="399" t="str">
        <f>INDEX(Matches!$B$4:$J$113,MATCH($F79,Matches!$B$4:$B$113,0),3)</f>
        <v>I1</v>
      </c>
      <c r="I79" s="399" t="str">
        <f>IFERROR(VLOOKUP($F79,Matches!$B$4:$H$113,7,0),"")</f>
        <v>Boston</v>
      </c>
      <c r="J79" s="648"/>
      <c r="K79" s="649"/>
    </row>
    <row r="80" spans="1:11" x14ac:dyDescent="0.25">
      <c r="A80" s="415"/>
      <c r="B80" s="395">
        <f>INDEX(Matches!$B$4:$J$113,MATCH($F80,Matches!$B$4:$B$113,0),5)</f>
        <v>46199.875</v>
      </c>
      <c r="C80" s="396">
        <f>INDEX(Matches!$B$4:$J$113,MATCH($F80,Matches!$B$4:$B$113,0),5)</f>
        <v>46199.875</v>
      </c>
      <c r="D80" s="397" t="str">
        <f>INDEX(Matches!$B$4:$J$113,MATCH($F80,Matches!$B$4:$B$113,0),8)</f>
        <v>Senegal</v>
      </c>
      <c r="E80" s="397" t="str">
        <f>INDEX(Matches!$B$4:$J$113,MATCH($F80,Matches!$B$4:$B$113,0),9)</f>
        <v>Irak</v>
      </c>
      <c r="F80" s="400">
        <v>62</v>
      </c>
      <c r="G80" s="399" t="str">
        <f>INDEX(Matches!$B$4:$J$113,MATCH($F80,Matches!$B$4:$B$113,0),2)</f>
        <v>I2</v>
      </c>
      <c r="H80" s="399" t="str">
        <f>INDEX(Matches!$B$4:$J$113,MATCH($F80,Matches!$B$4:$B$113,0),3)</f>
        <v>I3</v>
      </c>
      <c r="I80" s="399" t="str">
        <f>IFERROR(VLOOKUP($F80,Matches!$B$4:$H$113,7,0),"")</f>
        <v>Toronto</v>
      </c>
      <c r="J80" s="648"/>
      <c r="K80" s="649"/>
    </row>
    <row r="81" spans="1:11" x14ac:dyDescent="0.25">
      <c r="A81" s="415"/>
      <c r="B81" s="395">
        <f>INDEX(Matches!$B$4:$J$113,MATCH($F81,Matches!$B$4:$B$113,0),5)</f>
        <v>46200.083333333336</v>
      </c>
      <c r="C81" s="396">
        <f>INDEX(Matches!$B$4:$J$113,MATCH($F81,Matches!$B$4:$B$113,0),5)</f>
        <v>46200.083333333336</v>
      </c>
      <c r="D81" s="397" t="str">
        <f>INDEX(Matches!$B$4:$J$113,MATCH($F81,Matches!$B$4:$B$113,0),8)</f>
        <v>Kap Verde</v>
      </c>
      <c r="E81" s="397" t="str">
        <f>INDEX(Matches!$B$4:$J$113,MATCH($F81,Matches!$B$4:$B$113,0),9)</f>
        <v>Saudiarabien</v>
      </c>
      <c r="F81" s="400">
        <v>65</v>
      </c>
      <c r="G81" s="399" t="str">
        <f>INDEX(Matches!$B$4:$J$113,MATCH($F81,Matches!$B$4:$B$113,0),2)</f>
        <v>H2</v>
      </c>
      <c r="H81" s="399" t="str">
        <f>INDEX(Matches!$B$4:$J$113,MATCH($F81,Matches!$B$4:$B$113,0),3)</f>
        <v>H3</v>
      </c>
      <c r="I81" s="399" t="str">
        <f>IFERROR(VLOOKUP($F81,Matches!$B$4:$H$113,7,0),"")</f>
        <v>Houston</v>
      </c>
      <c r="J81" s="648"/>
      <c r="K81" s="649"/>
    </row>
    <row r="82" spans="1:11" x14ac:dyDescent="0.25">
      <c r="A82" s="415"/>
      <c r="B82" s="395">
        <f>INDEX(Matches!$B$4:$J$113,MATCH($F82,Matches!$B$4:$B$113,0),5)</f>
        <v>46200.083333333336</v>
      </c>
      <c r="C82" s="396">
        <f>INDEX(Matches!$B$4:$J$113,MATCH($F82,Matches!$B$4:$B$113,0),5)</f>
        <v>46200.083333333336</v>
      </c>
      <c r="D82" s="397" t="str">
        <f>INDEX(Matches!$B$4:$J$113,MATCH($F82,Matches!$B$4:$B$113,0),8)</f>
        <v>Uruguay</v>
      </c>
      <c r="E82" s="397" t="str">
        <f>INDEX(Matches!$B$4:$J$113,MATCH($F82,Matches!$B$4:$B$113,0),9)</f>
        <v>Spanien</v>
      </c>
      <c r="F82" s="400">
        <v>66</v>
      </c>
      <c r="G82" s="399" t="str">
        <f>INDEX(Matches!$B$4:$J$113,MATCH($F82,Matches!$B$4:$B$113,0),2)</f>
        <v>H4</v>
      </c>
      <c r="H82" s="399" t="str">
        <f>INDEX(Matches!$B$4:$J$113,MATCH($F82,Matches!$B$4:$B$113,0),3)</f>
        <v>H1</v>
      </c>
      <c r="I82" s="399" t="str">
        <f>IFERROR(VLOOKUP($F82,Matches!$B$4:$H$113,7,0),"")</f>
        <v>Guadalajara</v>
      </c>
      <c r="J82" s="648"/>
      <c r="K82" s="649"/>
    </row>
    <row r="83" spans="1:11" x14ac:dyDescent="0.25">
      <c r="A83" s="415"/>
      <c r="B83" s="395">
        <f>INDEX(Matches!$B$4:$J$113,MATCH($F83,Matches!$B$4:$B$113,0),5)</f>
        <v>46200.208333333336</v>
      </c>
      <c r="C83" s="396">
        <f>INDEX(Matches!$B$4:$J$113,MATCH($F83,Matches!$B$4:$B$113,0),5)</f>
        <v>46200.208333333336</v>
      </c>
      <c r="D83" s="397" t="str">
        <f>INDEX(Matches!$B$4:$J$113,MATCH($F83,Matches!$B$4:$B$113,0),8)</f>
        <v>Ägypten</v>
      </c>
      <c r="E83" s="397" t="str">
        <f>INDEX(Matches!$B$4:$J$113,MATCH($F83,Matches!$B$4:$B$113,0),9)</f>
        <v>IR Iran</v>
      </c>
      <c r="F83" s="400">
        <v>63</v>
      </c>
      <c r="G83" s="399" t="str">
        <f>INDEX(Matches!$B$4:$J$113,MATCH($F83,Matches!$B$4:$B$113,0),2)</f>
        <v>G2</v>
      </c>
      <c r="H83" s="399" t="str">
        <f>INDEX(Matches!$B$4:$J$113,MATCH($F83,Matches!$B$4:$B$113,0),3)</f>
        <v>G3</v>
      </c>
      <c r="I83" s="399" t="str">
        <f>IFERROR(VLOOKUP($F83,Matches!$B$4:$H$113,7,0),"")</f>
        <v>Seattle</v>
      </c>
      <c r="J83" s="648"/>
      <c r="K83" s="649"/>
    </row>
    <row r="84" spans="1:11" x14ac:dyDescent="0.25">
      <c r="A84" s="415"/>
      <c r="B84" s="395">
        <f>INDEX(Matches!$B$4:$J$113,MATCH($F84,Matches!$B$4:$B$113,0),5)</f>
        <v>46200.208333333336</v>
      </c>
      <c r="C84" s="396">
        <f>INDEX(Matches!$B$4:$J$113,MATCH($F84,Matches!$B$4:$B$113,0),5)</f>
        <v>46200.208333333336</v>
      </c>
      <c r="D84" s="397" t="str">
        <f>INDEX(Matches!$B$4:$J$113,MATCH($F84,Matches!$B$4:$B$113,0),8)</f>
        <v>Neuseeland</v>
      </c>
      <c r="E84" s="397" t="str">
        <f>INDEX(Matches!$B$4:$J$113,MATCH($F84,Matches!$B$4:$B$113,0),9)</f>
        <v>Belgien</v>
      </c>
      <c r="F84" s="400">
        <v>64</v>
      </c>
      <c r="G84" s="399" t="str">
        <f>INDEX(Matches!$B$4:$J$113,MATCH($F84,Matches!$B$4:$B$113,0),2)</f>
        <v>G4</v>
      </c>
      <c r="H84" s="399" t="str">
        <f>INDEX(Matches!$B$4:$J$113,MATCH($F84,Matches!$B$4:$B$113,0),3)</f>
        <v>G1</v>
      </c>
      <c r="I84" s="399" t="str">
        <f>IFERROR(VLOOKUP($F84,Matches!$B$4:$H$113,7,0),"")</f>
        <v>Vancouver</v>
      </c>
      <c r="J84" s="648"/>
      <c r="K84" s="649"/>
    </row>
    <row r="85" spans="1:11" x14ac:dyDescent="0.25">
      <c r="A85" s="415"/>
      <c r="B85" s="401"/>
      <c r="C85" s="402"/>
      <c r="D85" s="403"/>
      <c r="E85" s="403"/>
      <c r="F85" s="404"/>
      <c r="G85" s="405"/>
      <c r="H85" s="405"/>
      <c r="I85" s="405"/>
      <c r="J85" s="405"/>
      <c r="K85" s="406"/>
    </row>
    <row r="86" spans="1:11" x14ac:dyDescent="0.25">
      <c r="A86" s="415"/>
      <c r="B86" s="395">
        <f>INDEX(Matches!$B$4:$J$113,MATCH($F86,Matches!$B$4:$B$113,0),5)</f>
        <v>46200.958333333336</v>
      </c>
      <c r="C86" s="396">
        <f>INDEX(Matches!$B$4:$J$113,MATCH($F86,Matches!$B$4:$B$113,0),5)</f>
        <v>46200.958333333336</v>
      </c>
      <c r="D86" s="397" t="str">
        <f>INDEX(Matches!$B$4:$J$113,MATCH($F86,Matches!$B$4:$B$113,0),8)</f>
        <v>Panama</v>
      </c>
      <c r="E86" s="397" t="str">
        <f>INDEX(Matches!$B$4:$J$113,MATCH($F86,Matches!$B$4:$B$113,0),9)</f>
        <v>England</v>
      </c>
      <c r="F86" s="400">
        <v>67</v>
      </c>
      <c r="G86" s="399" t="str">
        <f>INDEX(Matches!$B$4:$J$113,MATCH($F86,Matches!$B$4:$B$113,0),2)</f>
        <v>L4</v>
      </c>
      <c r="H86" s="399" t="str">
        <f>INDEX(Matches!$B$4:$J$113,MATCH($F86,Matches!$B$4:$B$113,0),3)</f>
        <v>L1</v>
      </c>
      <c r="I86" s="399" t="str">
        <f>IFERROR(VLOOKUP($F86,Matches!$B$4:$H$113,7,0),"")</f>
        <v>New York/New Jersey</v>
      </c>
      <c r="J86" s="648"/>
      <c r="K86" s="649"/>
    </row>
    <row r="87" spans="1:11" x14ac:dyDescent="0.25">
      <c r="A87" s="415"/>
      <c r="B87" s="395">
        <f>INDEX(Matches!$B$4:$J$113,MATCH($F87,Matches!$B$4:$B$113,0),5)</f>
        <v>46200.958333333336</v>
      </c>
      <c r="C87" s="396">
        <f>INDEX(Matches!$B$4:$J$113,MATCH($F87,Matches!$B$4:$B$113,0),5)</f>
        <v>46200.958333333336</v>
      </c>
      <c r="D87" s="397" t="str">
        <f>INDEX(Matches!$B$4:$J$113,MATCH($F87,Matches!$B$4:$B$113,0),8)</f>
        <v>Kroatien</v>
      </c>
      <c r="E87" s="397" t="str">
        <f>INDEX(Matches!$B$4:$J$113,MATCH($F87,Matches!$B$4:$B$113,0),9)</f>
        <v>Ghana</v>
      </c>
      <c r="F87" s="400">
        <v>68</v>
      </c>
      <c r="G87" s="399" t="str">
        <f>INDEX(Matches!$B$4:$J$113,MATCH($F87,Matches!$B$4:$B$113,0),2)</f>
        <v>L2</v>
      </c>
      <c r="H87" s="399" t="str">
        <f>INDEX(Matches!$B$4:$J$113,MATCH($F87,Matches!$B$4:$B$113,0),3)</f>
        <v>L3</v>
      </c>
      <c r="I87" s="399" t="str">
        <f>IFERROR(VLOOKUP($F87,Matches!$B$4:$H$113,7,0),"")</f>
        <v>Philadelphia</v>
      </c>
      <c r="J87" s="648"/>
      <c r="K87" s="649"/>
    </row>
    <row r="88" spans="1:11" x14ac:dyDescent="0.25">
      <c r="A88" s="415"/>
      <c r="B88" s="395">
        <f>INDEX(Matches!$B$4:$J$113,MATCH($F88,Matches!$B$4:$B$113,0),5)</f>
        <v>46201.0625</v>
      </c>
      <c r="C88" s="396">
        <f>INDEX(Matches!$B$4:$J$113,MATCH($F88,Matches!$B$4:$B$113,0),5)</f>
        <v>46201.0625</v>
      </c>
      <c r="D88" s="397" t="str">
        <f>INDEX(Matches!$B$4:$J$113,MATCH($F88,Matches!$B$4:$B$113,0),8)</f>
        <v>Kolumbien</v>
      </c>
      <c r="E88" s="397" t="str">
        <f>INDEX(Matches!$B$4:$J$113,MATCH($F88,Matches!$B$4:$B$113,0),9)</f>
        <v>Portugal</v>
      </c>
      <c r="F88" s="400">
        <v>71</v>
      </c>
      <c r="G88" s="399" t="str">
        <f>INDEX(Matches!$B$4:$J$113,MATCH($F88,Matches!$B$4:$B$113,0),2)</f>
        <v>K4</v>
      </c>
      <c r="H88" s="399" t="str">
        <f>INDEX(Matches!$B$4:$J$113,MATCH($F88,Matches!$B$4:$B$113,0),3)</f>
        <v>K1</v>
      </c>
      <c r="I88" s="399" t="str">
        <f>IFERROR(VLOOKUP($F88,Matches!$B$4:$H$113,7,0),"")</f>
        <v>Miami</v>
      </c>
      <c r="J88" s="648"/>
      <c r="K88" s="649"/>
    </row>
    <row r="89" spans="1:11" x14ac:dyDescent="0.25">
      <c r="A89" s="415"/>
      <c r="B89" s="395">
        <f>INDEX(Matches!$B$4:$J$113,MATCH($F89,Matches!$B$4:$B$113,0),5)</f>
        <v>46201.0625</v>
      </c>
      <c r="C89" s="396">
        <f>INDEX(Matches!$B$4:$J$113,MATCH($F89,Matches!$B$4:$B$113,0),5)</f>
        <v>46201.0625</v>
      </c>
      <c r="D89" s="397" t="str">
        <f>INDEX(Matches!$B$4:$J$113,MATCH($F89,Matches!$B$4:$B$113,0),8)</f>
        <v>DR Kongo</v>
      </c>
      <c r="E89" s="397" t="str">
        <f>INDEX(Matches!$B$4:$J$113,MATCH($F89,Matches!$B$4:$B$113,0),9)</f>
        <v>Usbekistan</v>
      </c>
      <c r="F89" s="400">
        <v>72</v>
      </c>
      <c r="G89" s="399" t="str">
        <f>INDEX(Matches!$B$4:$J$113,MATCH($F89,Matches!$B$4:$B$113,0),2)</f>
        <v>K2</v>
      </c>
      <c r="H89" s="399" t="str">
        <f>INDEX(Matches!$B$4:$J$113,MATCH($F89,Matches!$B$4:$B$113,0),3)</f>
        <v>K3</v>
      </c>
      <c r="I89" s="399" t="str">
        <f>IFERROR(VLOOKUP($F89,Matches!$B$4:$H$113,7,0),"")</f>
        <v>Atlanta</v>
      </c>
      <c r="J89" s="648"/>
      <c r="K89" s="649"/>
    </row>
    <row r="90" spans="1:11" x14ac:dyDescent="0.25">
      <c r="A90" s="415"/>
      <c r="B90" s="395">
        <f>INDEX(Matches!$B$4:$J$113,MATCH($F90,Matches!$B$4:$B$113,0),5)</f>
        <v>46201.166666666664</v>
      </c>
      <c r="C90" s="396">
        <f>INDEX(Matches!$B$4:$J$113,MATCH($F90,Matches!$B$4:$B$113,0),5)</f>
        <v>46201.166666666664</v>
      </c>
      <c r="D90" s="397" t="str">
        <f>INDEX(Matches!$B$4:$J$113,MATCH($F90,Matches!$B$4:$B$113,0),8)</f>
        <v>Algerien</v>
      </c>
      <c r="E90" s="397" t="str">
        <f>INDEX(Matches!$B$4:$J$113,MATCH($F90,Matches!$B$4:$B$113,0),9)</f>
        <v>Österreich</v>
      </c>
      <c r="F90" s="400">
        <v>69</v>
      </c>
      <c r="G90" s="399" t="str">
        <f>INDEX(Matches!$B$4:$J$113,MATCH($F90,Matches!$B$4:$B$113,0),2)</f>
        <v>J2</v>
      </c>
      <c r="H90" s="399" t="str">
        <f>INDEX(Matches!$B$4:$J$113,MATCH($F90,Matches!$B$4:$B$113,0),3)</f>
        <v>J3</v>
      </c>
      <c r="I90" s="399" t="str">
        <f>IFERROR(VLOOKUP($F90,Matches!$B$4:$H$113,7,0),"")</f>
        <v>Kansas City</v>
      </c>
      <c r="J90" s="648"/>
      <c r="K90" s="649"/>
    </row>
    <row r="91" spans="1:11" x14ac:dyDescent="0.25">
      <c r="A91" s="415"/>
      <c r="B91" s="395">
        <f>INDEX(Matches!$B$4:$J$113,MATCH($F91,Matches!$B$4:$B$113,0),5)</f>
        <v>46201.166666666664</v>
      </c>
      <c r="C91" s="396">
        <f>INDEX(Matches!$B$4:$J$113,MATCH($F91,Matches!$B$4:$B$113,0),5)</f>
        <v>46201.166666666664</v>
      </c>
      <c r="D91" s="397" t="str">
        <f>INDEX(Matches!$B$4:$J$113,MATCH($F91,Matches!$B$4:$B$113,0),8)</f>
        <v>Jordanien</v>
      </c>
      <c r="E91" s="397" t="str">
        <f>INDEX(Matches!$B$4:$J$113,MATCH($F91,Matches!$B$4:$B$113,0),9)</f>
        <v>Argentinien</v>
      </c>
      <c r="F91" s="400">
        <v>70</v>
      </c>
      <c r="G91" s="399" t="str">
        <f>INDEX(Matches!$B$4:$J$113,MATCH($F91,Matches!$B$4:$B$113,0),2)</f>
        <v>J4</v>
      </c>
      <c r="H91" s="399" t="str">
        <f>INDEX(Matches!$B$4:$J$113,MATCH($F91,Matches!$B$4:$B$113,0),3)</f>
        <v>J1</v>
      </c>
      <c r="I91" s="399" t="str">
        <f>IFERROR(VLOOKUP($F91,Matches!$B$4:$H$113,7,0),"")</f>
        <v>Dallas</v>
      </c>
      <c r="J91" s="648"/>
      <c r="K91" s="649"/>
    </row>
    <row r="92" spans="1:11" x14ac:dyDescent="0.25">
      <c r="A92" s="415"/>
      <c r="B92" s="401"/>
      <c r="C92" s="402"/>
      <c r="D92" s="403"/>
      <c r="E92" s="403"/>
      <c r="F92" s="404"/>
      <c r="G92" s="405"/>
      <c r="H92" s="481"/>
      <c r="I92" s="481"/>
      <c r="J92" s="481"/>
      <c r="K92" s="482"/>
    </row>
    <row r="93" spans="1:11" x14ac:dyDescent="0.25">
      <c r="A93" s="415"/>
      <c r="B93" s="483" t="str">
        <f>Sprache!$E$256</f>
        <v>Sechzehntelfinale</v>
      </c>
      <c r="C93" s="484"/>
      <c r="D93" s="485"/>
      <c r="E93" s="485"/>
      <c r="F93" s="486"/>
      <c r="G93" s="487"/>
      <c r="H93" s="488"/>
      <c r="I93" s="488"/>
      <c r="J93" s="489"/>
      <c r="K93" s="490"/>
    </row>
    <row r="94" spans="1:11" x14ac:dyDescent="0.25">
      <c r="A94" s="415"/>
      <c r="B94" s="395">
        <f>INDEX(Matches!$B$4:$J$113,MATCH($F94,Matches!$B$4:$B$113,0),5)</f>
        <v>46201.875</v>
      </c>
      <c r="C94" s="396">
        <f>INDEX(Matches!$B$4:$J$113,MATCH($F94,Matches!$B$4:$B$113,0),5)</f>
        <v>46201.875</v>
      </c>
      <c r="D94" s="397" t="str">
        <f>INDEX(Matches!$B$4:$J$113,MATCH($F94,Matches!$B$4:$B$113,0),8)</f>
        <v/>
      </c>
      <c r="E94" s="397" t="str">
        <f>INDEX(Matches!$B$4:$J$113,MATCH($F94,Matches!$B$4:$B$113,0),9)</f>
        <v/>
      </c>
      <c r="F94" s="400">
        <v>73</v>
      </c>
      <c r="G94" s="399" t="str">
        <f>INDEX(Matches!$B$4:$J$113,MATCH($F94,Matches!$B$4:$B$113,0),2)</f>
        <v>2A</v>
      </c>
      <c r="H94" s="399" t="str">
        <f>INDEX(Matches!$B$4:$J$113,MATCH($F94,Matches!$B$4:$B$113,0),3)</f>
        <v>2B</v>
      </c>
      <c r="I94" s="399" t="str">
        <f>IFERROR(VLOOKUP($F94,Matches!$B$4:$H$113,7,0),"")</f>
        <v>Los Angeles</v>
      </c>
      <c r="J94" s="648"/>
      <c r="K94" s="649"/>
    </row>
    <row r="95" spans="1:11" x14ac:dyDescent="0.25">
      <c r="A95" s="415"/>
      <c r="B95" s="395"/>
      <c r="C95" s="396"/>
      <c r="D95" s="683"/>
      <c r="E95" s="683"/>
      <c r="F95" s="400"/>
      <c r="G95" s="399"/>
      <c r="H95" s="399"/>
      <c r="I95" s="399"/>
      <c r="J95" s="398"/>
      <c r="K95" s="686"/>
    </row>
    <row r="96" spans="1:11" x14ac:dyDescent="0.25">
      <c r="A96" s="415"/>
      <c r="B96" s="395">
        <f>INDEX(Matches!$B$4:$J$113,MATCH($F96,Matches!$B$4:$B$113,0),5)</f>
        <v>46202.791666666664</v>
      </c>
      <c r="C96" s="396">
        <f>INDEX(Matches!$B$4:$J$113,MATCH($F96,Matches!$B$4:$B$113,0),5)</f>
        <v>46202.791666666664</v>
      </c>
      <c r="D96" s="397" t="str">
        <f>INDEX(Matches!$B$4:$J$113,MATCH($F96,Matches!$B$4:$B$113,0),8)</f>
        <v/>
      </c>
      <c r="E96" s="397" t="str">
        <f>INDEX(Matches!$B$4:$J$113,MATCH($F96,Matches!$B$4:$B$113,0),9)</f>
        <v/>
      </c>
      <c r="F96" s="400">
        <v>76</v>
      </c>
      <c r="G96" s="399" t="str">
        <f>INDEX(Matches!$B$4:$J$113,MATCH($F96,Matches!$B$4:$B$113,0),2)</f>
        <v>1C</v>
      </c>
      <c r="H96" s="399" t="str">
        <f>INDEX(Matches!$B$4:$J$113,MATCH($F96,Matches!$B$4:$B$113,0),3)</f>
        <v>2F</v>
      </c>
      <c r="I96" s="399" t="str">
        <f>IFERROR(VLOOKUP($F96,Matches!$B$4:$H$113,7,0),"")</f>
        <v>Houston</v>
      </c>
      <c r="J96" s="648"/>
      <c r="K96" s="649"/>
    </row>
    <row r="97" spans="1:11" x14ac:dyDescent="0.25">
      <c r="A97" s="415"/>
      <c r="B97" s="395">
        <f>INDEX(Matches!$B$4:$J$113,MATCH($F97,Matches!$B$4:$B$113,0),5)</f>
        <v>46202.9375</v>
      </c>
      <c r="C97" s="396">
        <f>INDEX(Matches!$B$4:$J$113,MATCH($F97,Matches!$B$4:$B$113,0),5)</f>
        <v>46202.9375</v>
      </c>
      <c r="D97" s="397" t="str">
        <f>INDEX(Matches!$B$4:$J$113,MATCH($F97,Matches!$B$4:$B$113,0),8)</f>
        <v/>
      </c>
      <c r="E97" s="397" t="str">
        <f>INDEX(Matches!$B$4:$J$113,MATCH($F97,Matches!$B$4:$B$113,0),9)</f>
        <v/>
      </c>
      <c r="F97" s="400">
        <v>74</v>
      </c>
      <c r="G97" s="399" t="str">
        <f>INDEX(Matches!$B$4:$J$113,MATCH($F97,Matches!$B$4:$B$113,0),2)</f>
        <v>1E</v>
      </c>
      <c r="H97" s="399" t="str">
        <f>INDEX(Matches!$B$4:$J$113,MATCH($F97,Matches!$B$4:$B$113,0),3)</f>
        <v>3-ABCDF</v>
      </c>
      <c r="I97" s="399" t="str">
        <f>IFERROR(VLOOKUP($F97,Matches!$B$4:$H$113,7,0),"")</f>
        <v>Boston</v>
      </c>
      <c r="J97" s="648"/>
      <c r="K97" s="649"/>
    </row>
    <row r="98" spans="1:11" x14ac:dyDescent="0.25">
      <c r="A98" s="415"/>
      <c r="B98" s="395">
        <f>INDEX(Matches!$B$4:$J$113,MATCH($F98,Matches!$B$4:$B$113,0),5)</f>
        <v>46203.125</v>
      </c>
      <c r="C98" s="396">
        <f>INDEX(Matches!$B$4:$J$113,MATCH($F98,Matches!$B$4:$B$113,0),5)</f>
        <v>46203.125</v>
      </c>
      <c r="D98" s="397" t="str">
        <f>INDEX(Matches!$B$4:$J$113,MATCH($F98,Matches!$B$4:$B$113,0),8)</f>
        <v/>
      </c>
      <c r="E98" s="397" t="str">
        <f>INDEX(Matches!$B$4:$J$113,MATCH($F98,Matches!$B$4:$B$113,0),9)</f>
        <v/>
      </c>
      <c r="F98" s="400">
        <v>75</v>
      </c>
      <c r="G98" s="399" t="str">
        <f>INDEX(Matches!$B$4:$J$113,MATCH($F98,Matches!$B$4:$B$113,0),2)</f>
        <v>1F</v>
      </c>
      <c r="H98" s="399" t="str">
        <f>INDEX(Matches!$B$4:$J$113,MATCH($F98,Matches!$B$4:$B$113,0),3)</f>
        <v>2C</v>
      </c>
      <c r="I98" s="399" t="str">
        <f>IFERROR(VLOOKUP($F98,Matches!$B$4:$H$113,7,0),"")</f>
        <v>Monterrey</v>
      </c>
      <c r="J98" s="648"/>
      <c r="K98" s="649"/>
    </row>
    <row r="99" spans="1:11" x14ac:dyDescent="0.25">
      <c r="A99" s="415"/>
      <c r="B99" s="401"/>
      <c r="C99" s="402"/>
      <c r="D99" s="403"/>
      <c r="E99" s="403"/>
      <c r="F99" s="404"/>
      <c r="G99" s="405"/>
      <c r="H99" s="405"/>
      <c r="I99" s="405"/>
      <c r="J99" s="405"/>
      <c r="K99" s="406"/>
    </row>
    <row r="100" spans="1:11" x14ac:dyDescent="0.25">
      <c r="A100" s="415"/>
      <c r="B100" s="395">
        <f>INDEX(Matches!$B$4:$J$113,MATCH($F100,Matches!$B$4:$B$113,0),5)</f>
        <v>46203.791666666664</v>
      </c>
      <c r="C100" s="396">
        <f>INDEX(Matches!$B$4:$J$113,MATCH($F100,Matches!$B$4:$B$113,0),5)</f>
        <v>46203.791666666664</v>
      </c>
      <c r="D100" s="397" t="str">
        <f>INDEX(Matches!$B$4:$J$113,MATCH($F100,Matches!$B$4:$B$113,0),8)</f>
        <v/>
      </c>
      <c r="E100" s="397" t="str">
        <f>INDEX(Matches!$B$4:$J$113,MATCH($F100,Matches!$B$4:$B$113,0),9)</f>
        <v/>
      </c>
      <c r="F100" s="400">
        <v>78</v>
      </c>
      <c r="G100" s="399" t="str">
        <f>INDEX(Matches!$B$4:$J$113,MATCH($F100,Matches!$B$4:$B$113,0),2)</f>
        <v>2E</v>
      </c>
      <c r="H100" s="399" t="str">
        <f>INDEX(Matches!$B$4:$J$113,MATCH($F100,Matches!$B$4:$B$113,0),3)</f>
        <v>2I</v>
      </c>
      <c r="I100" s="399" t="str">
        <f>IFERROR(VLOOKUP($F100,Matches!$B$4:$H$113,7,0),"")</f>
        <v>Dallas</v>
      </c>
      <c r="J100" s="648"/>
      <c r="K100" s="649"/>
    </row>
    <row r="101" spans="1:11" x14ac:dyDescent="0.25">
      <c r="A101" s="415"/>
      <c r="B101" s="395">
        <f>INDEX(Matches!$B$4:$J$113,MATCH($F101,Matches!$B$4:$B$113,0),5)</f>
        <v>46203.958333333336</v>
      </c>
      <c r="C101" s="396">
        <f>INDEX(Matches!$B$4:$J$113,MATCH($F101,Matches!$B$4:$B$113,0),5)</f>
        <v>46203.958333333336</v>
      </c>
      <c r="D101" s="397" t="str">
        <f>INDEX(Matches!$B$4:$J$113,MATCH($F101,Matches!$B$4:$B$113,0),8)</f>
        <v/>
      </c>
      <c r="E101" s="397" t="str">
        <f>INDEX(Matches!$B$4:$J$113,MATCH($F101,Matches!$B$4:$B$113,0),9)</f>
        <v/>
      </c>
      <c r="F101" s="400">
        <v>77</v>
      </c>
      <c r="G101" s="399" t="str">
        <f>INDEX(Matches!$B$4:$J$113,MATCH($F101,Matches!$B$4:$B$113,0),2)</f>
        <v>1I</v>
      </c>
      <c r="H101" s="399" t="str">
        <f>INDEX(Matches!$B$4:$J$113,MATCH($F101,Matches!$B$4:$B$113,0),3)</f>
        <v>3-CDFGH</v>
      </c>
      <c r="I101" s="399" t="str">
        <f>IFERROR(VLOOKUP($F101,Matches!$B$4:$H$113,7,0),"")</f>
        <v>New York/New Jersey</v>
      </c>
      <c r="J101" s="648"/>
      <c r="K101" s="649"/>
    </row>
    <row r="102" spans="1:11" x14ac:dyDescent="0.25">
      <c r="A102" s="415"/>
      <c r="B102" s="395">
        <f>INDEX(Matches!$B$4:$J$113,MATCH($F102,Matches!$B$4:$B$113,0),5)</f>
        <v>46204.125</v>
      </c>
      <c r="C102" s="396">
        <f>INDEX(Matches!$B$4:$J$113,MATCH($F102,Matches!$B$4:$B$113,0),5)</f>
        <v>46204.125</v>
      </c>
      <c r="D102" s="397" t="str">
        <f>INDEX(Matches!$B$4:$J$113,MATCH($F102,Matches!$B$4:$B$113,0),8)</f>
        <v/>
      </c>
      <c r="E102" s="397" t="str">
        <f>INDEX(Matches!$B$4:$J$113,MATCH($F102,Matches!$B$4:$B$113,0),9)</f>
        <v/>
      </c>
      <c r="F102" s="400">
        <v>79</v>
      </c>
      <c r="G102" s="399" t="str">
        <f>INDEX(Matches!$B$4:$J$113,MATCH($F102,Matches!$B$4:$B$113,0),2)</f>
        <v>1A</v>
      </c>
      <c r="H102" s="399" t="str">
        <f>INDEX(Matches!$B$4:$J$113,MATCH($F102,Matches!$B$4:$B$113,0),3)</f>
        <v>3-CEFHI</v>
      </c>
      <c r="I102" s="399" t="str">
        <f>IFERROR(VLOOKUP($F102,Matches!$B$4:$H$113,7,0),"")</f>
        <v>Mexico City</v>
      </c>
      <c r="J102" s="648"/>
      <c r="K102" s="649"/>
    </row>
    <row r="103" spans="1:11" x14ac:dyDescent="0.25">
      <c r="A103" s="415"/>
      <c r="B103" s="395"/>
      <c r="C103" s="396"/>
      <c r="D103" s="683"/>
      <c r="E103" s="683"/>
      <c r="F103" s="400"/>
      <c r="G103" s="399"/>
      <c r="H103" s="399"/>
      <c r="I103" s="399"/>
      <c r="J103" s="398"/>
      <c r="K103" s="686"/>
    </row>
    <row r="104" spans="1:11" x14ac:dyDescent="0.25">
      <c r="A104" s="415"/>
      <c r="B104" s="395">
        <f>INDEX(Matches!$B$4:$J$113,MATCH($F104,Matches!$B$4:$B$113,0),5)</f>
        <v>46204.75</v>
      </c>
      <c r="C104" s="396">
        <f>INDEX(Matches!$B$4:$J$113,MATCH($F104,Matches!$B$4:$B$113,0),5)</f>
        <v>46204.75</v>
      </c>
      <c r="D104" s="397" t="str">
        <f>INDEX(Matches!$B$4:$J$113,MATCH($F104,Matches!$B$4:$B$113,0),8)</f>
        <v/>
      </c>
      <c r="E104" s="397" t="str">
        <f>INDEX(Matches!$B$4:$J$113,MATCH($F104,Matches!$B$4:$B$113,0),9)</f>
        <v/>
      </c>
      <c r="F104" s="400">
        <v>80</v>
      </c>
      <c r="G104" s="399" t="str">
        <f>INDEX(Matches!$B$4:$J$113,MATCH($F104,Matches!$B$4:$B$113,0),2)</f>
        <v>1L</v>
      </c>
      <c r="H104" s="399" t="str">
        <f>INDEX(Matches!$B$4:$J$113,MATCH($F104,Matches!$B$4:$B$113,0),3)</f>
        <v>3-EHIJK</v>
      </c>
      <c r="I104" s="399" t="str">
        <f>IFERROR(VLOOKUP($F104,Matches!$B$4:$H$113,7,0),"")</f>
        <v>Atlanta</v>
      </c>
      <c r="J104" s="648"/>
      <c r="K104" s="649"/>
    </row>
    <row r="105" spans="1:11" x14ac:dyDescent="0.25">
      <c r="A105" s="415"/>
      <c r="B105" s="395">
        <f>INDEX(Matches!$B$4:$J$113,MATCH($F105,Matches!$B$4:$B$113,0),5)</f>
        <v>46204.916666666664</v>
      </c>
      <c r="C105" s="396">
        <f>INDEX(Matches!$B$4:$J$113,MATCH($F105,Matches!$B$4:$B$113,0),5)</f>
        <v>46204.916666666664</v>
      </c>
      <c r="D105" s="397" t="str">
        <f>INDEX(Matches!$B$4:$J$113,MATCH($F105,Matches!$B$4:$B$113,0),8)</f>
        <v/>
      </c>
      <c r="E105" s="397" t="str">
        <f>INDEX(Matches!$B$4:$J$113,MATCH($F105,Matches!$B$4:$B$113,0),9)</f>
        <v/>
      </c>
      <c r="F105" s="400">
        <v>82</v>
      </c>
      <c r="G105" s="399" t="str">
        <f>INDEX(Matches!$B$4:$J$113,MATCH($F105,Matches!$B$4:$B$113,0),2)</f>
        <v>1G</v>
      </c>
      <c r="H105" s="399" t="str">
        <f>INDEX(Matches!$B$4:$J$113,MATCH($F105,Matches!$B$4:$B$113,0),3)</f>
        <v>3-AEHIJ</v>
      </c>
      <c r="I105" s="399" t="str">
        <f>IFERROR(VLOOKUP($F105,Matches!$B$4:$H$113,7,0),"")</f>
        <v>Seattle</v>
      </c>
      <c r="J105" s="648"/>
      <c r="K105" s="649"/>
    </row>
    <row r="106" spans="1:11" x14ac:dyDescent="0.25">
      <c r="A106" s="415"/>
      <c r="B106" s="395">
        <f>INDEX(Matches!$B$4:$J$113,MATCH($F106,Matches!$B$4:$B$113,0),5)</f>
        <v>46205.083333333336</v>
      </c>
      <c r="C106" s="396">
        <f>INDEX(Matches!$B$4:$J$113,MATCH($F106,Matches!$B$4:$B$113,0),5)</f>
        <v>46205.083333333336</v>
      </c>
      <c r="D106" s="397" t="str">
        <f>INDEX(Matches!$B$4:$J$113,MATCH($F106,Matches!$B$4:$B$113,0),8)</f>
        <v/>
      </c>
      <c r="E106" s="397" t="str">
        <f>INDEX(Matches!$B$4:$J$113,MATCH($F106,Matches!$B$4:$B$113,0),9)</f>
        <v/>
      </c>
      <c r="F106" s="400">
        <v>81</v>
      </c>
      <c r="G106" s="399" t="str">
        <f>INDEX(Matches!$B$4:$J$113,MATCH($F106,Matches!$B$4:$B$113,0),2)</f>
        <v>1D</v>
      </c>
      <c r="H106" s="399" t="str">
        <f>INDEX(Matches!$B$4:$J$113,MATCH($F106,Matches!$B$4:$B$113,0),3)</f>
        <v>3-BEFIJ</v>
      </c>
      <c r="I106" s="399" t="str">
        <f>IFERROR(VLOOKUP($F106,Matches!$B$4:$H$113,7,0),"")</f>
        <v>San Francisco Bay Area</v>
      </c>
      <c r="J106" s="648"/>
      <c r="K106" s="649"/>
    </row>
    <row r="107" spans="1:11" x14ac:dyDescent="0.25">
      <c r="A107" s="415"/>
      <c r="B107" s="401"/>
      <c r="C107" s="402"/>
      <c r="D107" s="403"/>
      <c r="E107" s="403"/>
      <c r="F107" s="404"/>
      <c r="G107" s="405"/>
      <c r="H107" s="405"/>
      <c r="I107" s="405"/>
      <c r="J107" s="405"/>
      <c r="K107" s="406"/>
    </row>
    <row r="108" spans="1:11" x14ac:dyDescent="0.25">
      <c r="A108" s="415"/>
      <c r="B108" s="395">
        <f>INDEX(Matches!$B$4:$J$113,MATCH($F108,Matches!$B$4:$B$113,0),5)</f>
        <v>46205.875</v>
      </c>
      <c r="C108" s="396">
        <f>INDEX(Matches!$B$4:$J$113,MATCH($F108,Matches!$B$4:$B$113,0),5)</f>
        <v>46205.875</v>
      </c>
      <c r="D108" s="397" t="str">
        <f>INDEX(Matches!$B$4:$J$113,MATCH($F108,Matches!$B$4:$B$113,0),8)</f>
        <v/>
      </c>
      <c r="E108" s="397" t="str">
        <f>INDEX(Matches!$B$4:$J$113,MATCH($F108,Matches!$B$4:$B$113,0),9)</f>
        <v/>
      </c>
      <c r="F108" s="400">
        <v>84</v>
      </c>
      <c r="G108" s="399" t="str">
        <f>INDEX(Matches!$B$4:$J$113,MATCH($F108,Matches!$B$4:$B$113,0),2)</f>
        <v>1H</v>
      </c>
      <c r="H108" s="399" t="str">
        <f>INDEX(Matches!$B$4:$J$113,MATCH($F108,Matches!$B$4:$B$113,0),3)</f>
        <v>2J</v>
      </c>
      <c r="I108" s="399" t="str">
        <f>IFERROR(VLOOKUP($F108,Matches!$B$4:$H$113,7,0),"")</f>
        <v>Los Angeles</v>
      </c>
      <c r="J108" s="648"/>
      <c r="K108" s="649"/>
    </row>
    <row r="109" spans="1:11" x14ac:dyDescent="0.25">
      <c r="A109" s="415"/>
      <c r="B109" s="395">
        <f>INDEX(Matches!$B$4:$J$113,MATCH($F109,Matches!$B$4:$B$113,0),5)</f>
        <v>46206.041666666664</v>
      </c>
      <c r="C109" s="396">
        <f>INDEX(Matches!$B$4:$J$113,MATCH($F109,Matches!$B$4:$B$113,0),5)</f>
        <v>46206.041666666664</v>
      </c>
      <c r="D109" s="397" t="str">
        <f>INDEX(Matches!$B$4:$J$113,MATCH($F109,Matches!$B$4:$B$113,0),8)</f>
        <v/>
      </c>
      <c r="E109" s="397" t="str">
        <f>INDEX(Matches!$B$4:$J$113,MATCH($F109,Matches!$B$4:$B$113,0),9)</f>
        <v/>
      </c>
      <c r="F109" s="400">
        <v>83</v>
      </c>
      <c r="G109" s="399" t="str">
        <f>INDEX(Matches!$B$4:$J$113,MATCH($F109,Matches!$B$4:$B$113,0),2)</f>
        <v>2K</v>
      </c>
      <c r="H109" s="399" t="str">
        <f>INDEX(Matches!$B$4:$J$113,MATCH($F109,Matches!$B$4:$B$113,0),3)</f>
        <v>2L</v>
      </c>
      <c r="I109" s="399" t="str">
        <f>IFERROR(VLOOKUP($F109,Matches!$B$4:$H$113,7,0),"")</f>
        <v>Toronto</v>
      </c>
      <c r="J109" s="648"/>
      <c r="K109" s="649"/>
    </row>
    <row r="110" spans="1:11" x14ac:dyDescent="0.25">
      <c r="A110" s="415"/>
      <c r="B110" s="395">
        <f>INDEX(Matches!$B$4:$J$113,MATCH($F110,Matches!$B$4:$B$113,0),5)</f>
        <v>46206.208333333336</v>
      </c>
      <c r="C110" s="396">
        <f>INDEX(Matches!$B$4:$J$113,MATCH($F110,Matches!$B$4:$B$113,0),5)</f>
        <v>46206.208333333336</v>
      </c>
      <c r="D110" s="397" t="str">
        <f>INDEX(Matches!$B$4:$J$113,MATCH($F110,Matches!$B$4:$B$113,0),8)</f>
        <v/>
      </c>
      <c r="E110" s="397" t="str">
        <f>INDEX(Matches!$B$4:$J$113,MATCH($F110,Matches!$B$4:$B$113,0),9)</f>
        <v/>
      </c>
      <c r="F110" s="400">
        <v>85</v>
      </c>
      <c r="G110" s="399" t="str">
        <f>INDEX(Matches!$B$4:$J$113,MATCH($F110,Matches!$B$4:$B$113,0),2)</f>
        <v>1B</v>
      </c>
      <c r="H110" s="399" t="str">
        <f>INDEX(Matches!$B$4:$J$113,MATCH($F110,Matches!$B$4:$B$113,0),3)</f>
        <v>3-EFGIJ</v>
      </c>
      <c r="I110" s="399" t="str">
        <f>IFERROR(VLOOKUP($F110,Matches!$B$4:$H$113,7,0),"")</f>
        <v>Vancouver</v>
      </c>
      <c r="J110" s="648"/>
      <c r="K110" s="649"/>
    </row>
    <row r="111" spans="1:11" s="89" customFormat="1" x14ac:dyDescent="0.25">
      <c r="A111" s="415"/>
      <c r="B111" s="395"/>
      <c r="C111" s="684"/>
      <c r="D111" s="683"/>
      <c r="E111" s="683"/>
      <c r="F111" s="400"/>
      <c r="G111" s="399"/>
      <c r="H111" s="399"/>
      <c r="I111" s="399"/>
      <c r="J111" s="398"/>
      <c r="K111" s="686"/>
    </row>
    <row r="112" spans="1:11" x14ac:dyDescent="0.25">
      <c r="A112" s="415"/>
      <c r="B112" s="395">
        <f>INDEX(Matches!$B$4:$J$113,MATCH($F112,Matches!$B$4:$B$113,0),5)</f>
        <v>46206.833333333336</v>
      </c>
      <c r="C112" s="396">
        <f>INDEX(Matches!$B$4:$J$113,MATCH($F112,Matches!$B$4:$B$113,0),5)</f>
        <v>46206.833333333336</v>
      </c>
      <c r="D112" s="397" t="str">
        <f>INDEX(Matches!$B$4:$J$113,MATCH($F112,Matches!$B$4:$B$113,0),8)</f>
        <v/>
      </c>
      <c r="E112" s="397" t="str">
        <f>INDEX(Matches!$B$4:$J$113,MATCH($F112,Matches!$B$4:$B$113,0),9)</f>
        <v/>
      </c>
      <c r="F112" s="400">
        <v>88</v>
      </c>
      <c r="G112" s="399" t="str">
        <f>INDEX(Matches!$B$4:$J$113,MATCH($F112,Matches!$B$4:$B$113,0),2)</f>
        <v>2D</v>
      </c>
      <c r="H112" s="399" t="str">
        <f>INDEX(Matches!$B$4:$J$113,MATCH($F112,Matches!$B$4:$B$113,0),3)</f>
        <v>2G</v>
      </c>
      <c r="I112" s="399" t="str">
        <f>IFERROR(VLOOKUP($F112,Matches!$B$4:$H$113,7,0),"")</f>
        <v>Dallas</v>
      </c>
      <c r="J112" s="648"/>
      <c r="K112" s="649"/>
    </row>
    <row r="113" spans="1:11" x14ac:dyDescent="0.25">
      <c r="A113" s="415"/>
      <c r="B113" s="395">
        <f>INDEX(Matches!$B$4:$J$113,MATCH($F113,Matches!$B$4:$B$113,0),5)</f>
        <v>46207</v>
      </c>
      <c r="C113" s="396">
        <f>INDEX(Matches!$B$4:$J$113,MATCH($F113,Matches!$B$4:$B$113,0),5)</f>
        <v>46207</v>
      </c>
      <c r="D113" s="397" t="str">
        <f>INDEX(Matches!$B$4:$J$113,MATCH($F113,Matches!$B$4:$B$113,0),8)</f>
        <v/>
      </c>
      <c r="E113" s="397" t="str">
        <f>INDEX(Matches!$B$4:$J$113,MATCH($F113,Matches!$B$4:$B$113,0),9)</f>
        <v/>
      </c>
      <c r="F113" s="400">
        <v>86</v>
      </c>
      <c r="G113" s="399" t="str">
        <f>INDEX(Matches!$B$4:$J$113,MATCH($F113,Matches!$B$4:$B$113,0),2)</f>
        <v>1J</v>
      </c>
      <c r="H113" s="399" t="str">
        <f>INDEX(Matches!$B$4:$J$113,MATCH($F113,Matches!$B$4:$B$113,0),3)</f>
        <v>2H</v>
      </c>
      <c r="I113" s="399" t="str">
        <f>IFERROR(VLOOKUP($F113,Matches!$B$4:$H$113,7,0),"")</f>
        <v>Miami</v>
      </c>
      <c r="J113" s="648"/>
      <c r="K113" s="649"/>
    </row>
    <row r="114" spans="1:11" x14ac:dyDescent="0.25">
      <c r="A114" s="415"/>
      <c r="B114" s="395">
        <f>INDEX(Matches!$B$4:$J$113,MATCH($F114,Matches!$B$4:$B$113,0),5)</f>
        <v>46207.145833333336</v>
      </c>
      <c r="C114" s="396">
        <f>INDEX(Matches!$B$4:$J$113,MATCH($F114,Matches!$B$4:$B$113,0),5)</f>
        <v>46207.145833333336</v>
      </c>
      <c r="D114" s="397" t="str">
        <f>INDEX(Matches!$B$4:$J$113,MATCH($F114,Matches!$B$4:$B$113,0),8)</f>
        <v/>
      </c>
      <c r="E114" s="397" t="str">
        <f>INDEX(Matches!$B$4:$J$113,MATCH($F114,Matches!$B$4:$B$113,0),9)</f>
        <v/>
      </c>
      <c r="F114" s="400">
        <v>87</v>
      </c>
      <c r="G114" s="399" t="str">
        <f>INDEX(Matches!$B$4:$J$113,MATCH($F114,Matches!$B$4:$B$113,0),2)</f>
        <v>1K</v>
      </c>
      <c r="H114" s="399" t="str">
        <f>INDEX(Matches!$B$4:$J$113,MATCH($F114,Matches!$B$4:$B$113,0),3)</f>
        <v>3-DEIJL</v>
      </c>
      <c r="I114" s="399" t="str">
        <f>IFERROR(VLOOKUP($F114,Matches!$B$4:$H$113,7,0),"")</f>
        <v>Kansas City</v>
      </c>
      <c r="J114" s="648"/>
      <c r="K114" s="649"/>
    </row>
    <row r="115" spans="1:11" x14ac:dyDescent="0.25">
      <c r="A115" s="415"/>
      <c r="B115" s="401"/>
      <c r="C115" s="402"/>
      <c r="D115" s="403"/>
      <c r="E115" s="403"/>
      <c r="F115" s="404"/>
      <c r="G115" s="405"/>
      <c r="H115" s="405"/>
      <c r="I115" s="405"/>
      <c r="J115" s="405"/>
      <c r="K115" s="406"/>
    </row>
    <row r="116" spans="1:11" x14ac:dyDescent="0.25">
      <c r="A116" s="415"/>
      <c r="B116" s="483" t="str">
        <f>Sprache!$E$257</f>
        <v>Achtelfinale</v>
      </c>
      <c r="C116" s="484"/>
      <c r="D116" s="485"/>
      <c r="E116" s="485"/>
      <c r="F116" s="486"/>
      <c r="G116" s="487"/>
      <c r="H116" s="488"/>
      <c r="I116" s="488"/>
      <c r="J116" s="489"/>
      <c r="K116" s="490"/>
    </row>
    <row r="117" spans="1:11" x14ac:dyDescent="0.25">
      <c r="A117" s="415"/>
      <c r="B117" s="395">
        <f>INDEX(Matches!$B$4:$J$113,MATCH($F117,Matches!$B$4:$B$113,0),5)</f>
        <v>46207.791666666664</v>
      </c>
      <c r="C117" s="396">
        <f>INDEX(Matches!$B$4:$J$113,MATCH($F117,Matches!$B$4:$B$113,0),5)</f>
        <v>46207.791666666664</v>
      </c>
      <c r="D117" s="463" t="str">
        <f>'World Cup'!$E$60</f>
        <v/>
      </c>
      <c r="E117" s="460" t="str">
        <f>'World Cup'!$F$60</f>
        <v/>
      </c>
      <c r="F117" s="400">
        <v>90</v>
      </c>
      <c r="G117" s="399" t="str">
        <f>INDEX(Matches!$B$4:$J$113,MATCH($F117,Matches!$B$4:$B$113,0),2)</f>
        <v>W73</v>
      </c>
      <c r="H117" s="399" t="str">
        <f>INDEX(Matches!$B$4:$J$113,MATCH($F117,Matches!$B$4:$B$113,0),3)</f>
        <v>W75</v>
      </c>
      <c r="I117" s="399" t="str">
        <f>IFERROR(VLOOKUP($F117,Matches!$B$4:$H$113,7,0),"")</f>
        <v>Houston</v>
      </c>
      <c r="J117" s="648"/>
      <c r="K117" s="649"/>
    </row>
    <row r="118" spans="1:11" x14ac:dyDescent="0.25">
      <c r="A118" s="415"/>
      <c r="B118" s="395">
        <f>INDEX(Matches!$B$4:$J$113,MATCH($F118,Matches!$B$4:$B$113,0),5)</f>
        <v>46207.958333333336</v>
      </c>
      <c r="C118" s="396">
        <f>INDEX(Matches!$B$4:$J$113,MATCH($F118,Matches!$B$4:$B$113,0),5)</f>
        <v>46207.958333333336</v>
      </c>
      <c r="D118" s="460" t="str">
        <f>'World Cup'!$B$60</f>
        <v/>
      </c>
      <c r="E118" s="460" t="str">
        <f>'World Cup'!$C$60</f>
        <v/>
      </c>
      <c r="F118" s="400">
        <v>89</v>
      </c>
      <c r="G118" s="399" t="str">
        <f>INDEX(Matches!$B$4:$J$113,MATCH($F118,Matches!$B$4:$B$113,0),2)</f>
        <v>W74</v>
      </c>
      <c r="H118" s="399" t="str">
        <f>INDEX(Matches!$B$4:$J$113,MATCH($F118,Matches!$B$4:$B$113,0),3)</f>
        <v>W77</v>
      </c>
      <c r="I118" s="399" t="str">
        <f>IFERROR(VLOOKUP($F118,Matches!$B$4:$H$113,7,0),"")</f>
        <v>Philadelphia</v>
      </c>
      <c r="J118" s="648"/>
      <c r="K118" s="649"/>
    </row>
    <row r="119" spans="1:11" x14ac:dyDescent="0.25">
      <c r="A119" s="415"/>
      <c r="B119" s="401"/>
      <c r="C119" s="402"/>
      <c r="D119" s="403"/>
      <c r="E119" s="403"/>
      <c r="F119" s="404"/>
      <c r="G119" s="405"/>
      <c r="H119" s="405"/>
      <c r="I119" s="405"/>
      <c r="J119" s="405"/>
      <c r="K119" s="406"/>
    </row>
    <row r="120" spans="1:11" x14ac:dyDescent="0.25">
      <c r="A120" s="415"/>
      <c r="B120" s="395">
        <f>INDEX(Matches!$B$4:$J$113,MATCH($F120,Matches!$B$4:$B$113,0),5)</f>
        <v>46208.916666666664</v>
      </c>
      <c r="C120" s="396">
        <f>INDEX(Matches!$B$4:$J$113,MATCH($F120,Matches!$B$4:$B$113,0),5)</f>
        <v>46208.916666666664</v>
      </c>
      <c r="D120" s="460" t="str">
        <f>'World Cup'!$N$60</f>
        <v/>
      </c>
      <c r="E120" s="460" t="str">
        <f>'World Cup'!$O$60</f>
        <v/>
      </c>
      <c r="F120" s="400">
        <v>91</v>
      </c>
      <c r="G120" s="399" t="str">
        <f>INDEX(Matches!$B$4:$J$113,MATCH($F120,Matches!$B$4:$B$113,0),2)</f>
        <v>W76</v>
      </c>
      <c r="H120" s="399" t="str">
        <f>INDEX(Matches!$B$4:$J$113,MATCH($F120,Matches!$B$4:$B$113,0),3)</f>
        <v>W78</v>
      </c>
      <c r="I120" s="399" t="str">
        <f>IFERROR(VLOOKUP($F120,Matches!$B$4:$H$113,7,0),"")</f>
        <v>New York/New Jersey</v>
      </c>
      <c r="J120" s="648"/>
      <c r="K120" s="649"/>
    </row>
    <row r="121" spans="1:11" x14ac:dyDescent="0.25">
      <c r="A121" s="415"/>
      <c r="B121" s="395">
        <f>INDEX(Matches!$B$4:$J$113,MATCH($F121,Matches!$B$4:$B$113,0),5)</f>
        <v>46209.083333333336</v>
      </c>
      <c r="C121" s="396">
        <f>INDEX(Matches!$B$4:$J$113,MATCH($F121,Matches!$B$4:$B$113,0),5)</f>
        <v>46209.083333333336</v>
      </c>
      <c r="D121" s="460" t="str">
        <f>'World Cup'!$Q$60</f>
        <v/>
      </c>
      <c r="E121" s="460" t="str">
        <f>'World Cup'!$R$60</f>
        <v/>
      </c>
      <c r="F121" s="400">
        <v>92</v>
      </c>
      <c r="G121" s="399" t="str">
        <f>INDEX(Matches!$B$4:$J$113,MATCH($F121,Matches!$B$4:$B$113,0),2)</f>
        <v>W79</v>
      </c>
      <c r="H121" s="399" t="str">
        <f>INDEX(Matches!$B$4:$J$113,MATCH($F121,Matches!$B$4:$B$113,0),3)</f>
        <v>W80</v>
      </c>
      <c r="I121" s="399" t="str">
        <f>IFERROR(VLOOKUP($F121,Matches!$B$4:$H$113,7,0),"")</f>
        <v>Mexico City</v>
      </c>
      <c r="J121" s="648"/>
      <c r="K121" s="649"/>
    </row>
    <row r="122" spans="1:11" x14ac:dyDescent="0.25">
      <c r="A122" s="415"/>
      <c r="B122" s="401"/>
      <c r="C122" s="402"/>
      <c r="D122" s="403"/>
      <c r="E122" s="403"/>
      <c r="F122" s="404"/>
      <c r="G122" s="405"/>
      <c r="H122" s="405"/>
      <c r="I122" s="405"/>
      <c r="J122" s="405"/>
      <c r="K122" s="406"/>
    </row>
    <row r="123" spans="1:11" x14ac:dyDescent="0.25">
      <c r="A123" s="415"/>
      <c r="B123" s="395">
        <f>INDEX(Matches!$B$4:$J$113,MATCH($F123,Matches!$B$4:$B$113,0),5)</f>
        <v>46209.875</v>
      </c>
      <c r="C123" s="396">
        <f>INDEX(Matches!$B$4:$J$113,MATCH($F123,Matches!$B$4:$B$113,0),5)</f>
        <v>46209.875</v>
      </c>
      <c r="D123" s="460" t="str">
        <f>'World Cup'!$H$60</f>
        <v/>
      </c>
      <c r="E123" s="460" t="str">
        <f>'World Cup'!$I$60</f>
        <v/>
      </c>
      <c r="F123" s="400">
        <v>93</v>
      </c>
      <c r="G123" s="399" t="str">
        <f>INDEX(Matches!$B$4:$J$113,MATCH($F123,Matches!$B$4:$B$113,0),2)</f>
        <v>W83</v>
      </c>
      <c r="H123" s="399" t="str">
        <f>INDEX(Matches!$B$4:$J$113,MATCH($F123,Matches!$B$4:$B$113,0),3)</f>
        <v>W84</v>
      </c>
      <c r="I123" s="399" t="str">
        <f>IFERROR(VLOOKUP($F123,Matches!$B$4:$H$113,7,0),"")</f>
        <v>Dallas</v>
      </c>
      <c r="J123" s="648"/>
      <c r="K123" s="649"/>
    </row>
    <row r="124" spans="1:11" x14ac:dyDescent="0.25">
      <c r="A124" s="415"/>
      <c r="B124" s="395">
        <f>INDEX(Matches!$B$4:$J$113,MATCH($F124,Matches!$B$4:$B$113,0),5)</f>
        <v>46210.083333333336</v>
      </c>
      <c r="C124" s="396">
        <f>INDEX(Matches!$B$4:$J$113,MATCH($F124,Matches!$B$4:$B$113,0),5)</f>
        <v>46210.083333333336</v>
      </c>
      <c r="D124" s="460" t="str">
        <f>'World Cup'!$K$60</f>
        <v/>
      </c>
      <c r="E124" s="460" t="str">
        <f>'World Cup'!$L$60</f>
        <v/>
      </c>
      <c r="F124" s="400">
        <v>94</v>
      </c>
      <c r="G124" s="399" t="str">
        <f>INDEX(Matches!$B$4:$J$113,MATCH($F124,Matches!$B$4:$B$113,0),2)</f>
        <v>W81</v>
      </c>
      <c r="H124" s="399" t="str">
        <f>INDEX(Matches!$B$4:$J$113,MATCH($F124,Matches!$B$4:$B$113,0),3)</f>
        <v>W82</v>
      </c>
      <c r="I124" s="399" t="str">
        <f>IFERROR(VLOOKUP($F124,Matches!$B$4:$H$113,7,0),"")</f>
        <v>Seattle</v>
      </c>
      <c r="J124" s="648"/>
      <c r="K124" s="649"/>
    </row>
    <row r="125" spans="1:11" x14ac:dyDescent="0.25">
      <c r="A125" s="415"/>
      <c r="B125" s="401"/>
      <c r="C125" s="402"/>
      <c r="D125" s="403"/>
      <c r="E125" s="403"/>
      <c r="F125" s="404"/>
      <c r="G125" s="405"/>
      <c r="H125" s="405"/>
      <c r="I125" s="405"/>
      <c r="J125" s="405"/>
      <c r="K125" s="406"/>
    </row>
    <row r="126" spans="1:11" x14ac:dyDescent="0.25">
      <c r="A126" s="415"/>
      <c r="B126" s="395">
        <f>INDEX(Matches!$B$4:$J$113,MATCH($F126,Matches!$B$4:$B$113,0),5)</f>
        <v>46210.75</v>
      </c>
      <c r="C126" s="396">
        <f>INDEX(Matches!$B$4:$J$113,MATCH($F126,Matches!$B$4:$B$113,0),5)</f>
        <v>46210.75</v>
      </c>
      <c r="D126" s="460" t="str">
        <f>'World Cup'!$T$60</f>
        <v/>
      </c>
      <c r="E126" s="460" t="str">
        <f>'World Cup'!$U$60</f>
        <v/>
      </c>
      <c r="F126" s="400">
        <v>95</v>
      </c>
      <c r="G126" s="399" t="str">
        <f>INDEX(Matches!$B$4:$J$113,MATCH($F126,Matches!$B$4:$B$113,0),2)</f>
        <v>W86</v>
      </c>
      <c r="H126" s="399" t="str">
        <f>INDEX(Matches!$B$4:$J$113,MATCH($F126,Matches!$B$4:$B$113,0),3)</f>
        <v>W88</v>
      </c>
      <c r="I126" s="399" t="str">
        <f>IFERROR(VLOOKUP($F126,Matches!$B$4:$H$113,7,0),"")</f>
        <v>Atlanta</v>
      </c>
      <c r="J126" s="648"/>
      <c r="K126" s="649"/>
    </row>
    <row r="127" spans="1:11" x14ac:dyDescent="0.25">
      <c r="A127" s="415"/>
      <c r="B127" s="395">
        <f>INDEX(Matches!$B$4:$J$113,MATCH($F127,Matches!$B$4:$B$113,0),5)</f>
        <v>46210.916666666664</v>
      </c>
      <c r="C127" s="396">
        <f>INDEX(Matches!$B$4:$J$113,MATCH($F127,Matches!$B$4:$B$113,0),5)</f>
        <v>46210.916666666664</v>
      </c>
      <c r="D127" s="460" t="str">
        <f>'World Cup'!$W$60</f>
        <v/>
      </c>
      <c r="E127" s="460" t="str">
        <f>'World Cup'!$X$60</f>
        <v/>
      </c>
      <c r="F127" s="400">
        <v>96</v>
      </c>
      <c r="G127" s="399" t="str">
        <f>INDEX(Matches!$B$4:$J$113,MATCH($F127,Matches!$B$4:$B$113,0),2)</f>
        <v>W85</v>
      </c>
      <c r="H127" s="399" t="str">
        <f>INDEX(Matches!$B$4:$J$113,MATCH($F127,Matches!$B$4:$B$113,0),3)</f>
        <v>W87</v>
      </c>
      <c r="I127" s="399" t="str">
        <f>IFERROR(VLOOKUP($F127,Matches!$B$4:$H$113,7,0),"")</f>
        <v>Vancouver</v>
      </c>
      <c r="J127" s="648"/>
      <c r="K127" s="649"/>
    </row>
    <row r="128" spans="1:11" x14ac:dyDescent="0.25">
      <c r="A128" s="415"/>
      <c r="B128" s="401"/>
      <c r="C128" s="402"/>
      <c r="D128" s="403"/>
      <c r="E128" s="403"/>
      <c r="F128" s="404"/>
      <c r="G128" s="405"/>
      <c r="H128" s="405"/>
      <c r="I128" s="405"/>
      <c r="J128" s="405"/>
      <c r="K128" s="406"/>
    </row>
    <row r="129" spans="1:11" x14ac:dyDescent="0.25">
      <c r="A129" s="4"/>
      <c r="B129" s="483" t="str">
        <f>Sprache!$E$258</f>
        <v>Viertelfinale</v>
      </c>
      <c r="C129" s="484"/>
      <c r="D129" s="485"/>
      <c r="E129" s="485"/>
      <c r="F129" s="486"/>
      <c r="G129" s="487"/>
      <c r="H129" s="488"/>
      <c r="I129" s="488"/>
      <c r="J129" s="489"/>
      <c r="K129" s="490"/>
    </row>
    <row r="130" spans="1:11" x14ac:dyDescent="0.25">
      <c r="A130" s="4"/>
      <c r="B130" s="395">
        <f>INDEX(Matches!$B$4:$J$113,MATCH($F130,Matches!$B$4:$B$113,0),5)</f>
        <v>46212.916666666664</v>
      </c>
      <c r="C130" s="396">
        <f>INDEX(Matches!$B$4:$J$113,MATCH($F130,Matches!$B$4:$B$113,0),5)</f>
        <v>46212.916666666664</v>
      </c>
      <c r="D130" s="460" t="str">
        <f>'World Cup'!$C$70</f>
        <v/>
      </c>
      <c r="E130" s="460" t="str">
        <f>'World Cup'!$E$70</f>
        <v/>
      </c>
      <c r="F130" s="400">
        <v>97</v>
      </c>
      <c r="G130" s="399" t="str">
        <f>INDEX(Matches!$B$4:$J$113,MATCH($F130,Matches!$B$4:$B$113,0),2)</f>
        <v>W89</v>
      </c>
      <c r="H130" s="399" t="str">
        <f>INDEX(Matches!$B$4:$J$113,MATCH($F130,Matches!$B$4:$B$113,0),3)</f>
        <v>W90</v>
      </c>
      <c r="I130" s="399" t="str">
        <f>IFERROR(VLOOKUP($F130,Matches!$B$4:$H$113,7,0),"")</f>
        <v>Boston</v>
      </c>
      <c r="J130" s="648"/>
      <c r="K130" s="649"/>
    </row>
    <row r="131" spans="1:11" s="89" customFormat="1" x14ac:dyDescent="0.25">
      <c r="A131" s="415"/>
      <c r="B131" s="395"/>
      <c r="C131" s="684"/>
      <c r="D131" s="685"/>
      <c r="E131" s="685"/>
      <c r="F131" s="400"/>
      <c r="G131" s="399"/>
      <c r="H131" s="399"/>
      <c r="I131" s="399"/>
      <c r="J131" s="398"/>
      <c r="K131" s="686"/>
    </row>
    <row r="132" spans="1:11" x14ac:dyDescent="0.25">
      <c r="A132" s="4"/>
      <c r="B132" s="395">
        <f>INDEX(Matches!$B$4:$J$113,MATCH($F132,Matches!$B$4:$B$113,0),5)</f>
        <v>46213.875</v>
      </c>
      <c r="C132" s="396">
        <f>INDEX(Matches!$B$4:$J$113,MATCH($F132,Matches!$B$4:$B$113,0),5)</f>
        <v>46213.875</v>
      </c>
      <c r="D132" s="460" t="str">
        <f>'World Cup'!$I$70</f>
        <v/>
      </c>
      <c r="E132" s="460" t="str">
        <f>'World Cup'!$K$70</f>
        <v/>
      </c>
      <c r="F132" s="400">
        <v>98</v>
      </c>
      <c r="G132" s="399" t="str">
        <f>INDEX(Matches!$B$4:$J$113,MATCH($F132,Matches!$B$4:$B$113,0),2)</f>
        <v>W93</v>
      </c>
      <c r="H132" s="399" t="str">
        <f>INDEX(Matches!$B$4:$J$113,MATCH($F132,Matches!$B$4:$B$113,0),3)</f>
        <v>W94</v>
      </c>
      <c r="I132" s="399" t="str">
        <f>IFERROR(VLOOKUP($F132,Matches!$B$4:$H$113,7,0),"")</f>
        <v>Los Angeles</v>
      </c>
      <c r="J132" s="648"/>
      <c r="K132" s="649"/>
    </row>
    <row r="133" spans="1:11" x14ac:dyDescent="0.25">
      <c r="A133" s="4"/>
      <c r="B133" s="401"/>
      <c r="C133" s="402"/>
      <c r="D133" s="403"/>
      <c r="E133" s="403"/>
      <c r="F133" s="404"/>
      <c r="G133" s="405"/>
      <c r="H133" s="405"/>
      <c r="I133" s="405"/>
      <c r="J133" s="405"/>
      <c r="K133" s="406"/>
    </row>
    <row r="134" spans="1:11" x14ac:dyDescent="0.25">
      <c r="A134" s="4"/>
      <c r="B134" s="395">
        <f>INDEX(Matches!$B$4:$J$113,MATCH($F134,Matches!$B$4:$B$113,0),5)</f>
        <v>46214.958333333336</v>
      </c>
      <c r="C134" s="396">
        <f>INDEX(Matches!$B$4:$J$113,MATCH($F134,Matches!$B$4:$B$113,0),5)</f>
        <v>46214.958333333336</v>
      </c>
      <c r="D134" s="460" t="str">
        <f>'World Cup'!$O$70</f>
        <v/>
      </c>
      <c r="E134" s="460" t="str">
        <f>'World Cup'!$Q$70</f>
        <v/>
      </c>
      <c r="F134" s="400">
        <v>99</v>
      </c>
      <c r="G134" s="399" t="str">
        <f>INDEX(Matches!$B$4:$J$113,MATCH($F134,Matches!$B$4:$B$113,0),2)</f>
        <v>W91</v>
      </c>
      <c r="H134" s="399" t="str">
        <f>INDEX(Matches!$B$4:$J$113,MATCH($F134,Matches!$B$4:$B$113,0),3)</f>
        <v>W92</v>
      </c>
      <c r="I134" s="399" t="str">
        <f>IFERROR(VLOOKUP($F134,Matches!$B$4:$H$113,7,0),"")</f>
        <v>Miami</v>
      </c>
      <c r="J134" s="648"/>
      <c r="K134" s="649"/>
    </row>
    <row r="135" spans="1:11" x14ac:dyDescent="0.25">
      <c r="A135" s="4"/>
      <c r="B135" s="395">
        <f>INDEX(Matches!$B$4:$J$113,MATCH($F135,Matches!$B$4:$B$113,0),5)</f>
        <v>46215.125</v>
      </c>
      <c r="C135" s="396">
        <f>INDEX(Matches!$B$4:$J$113,MATCH($F135,Matches!$B$4:$B$113,0),5)</f>
        <v>46215.125</v>
      </c>
      <c r="D135" s="460" t="str">
        <f>'World Cup'!$U$70</f>
        <v/>
      </c>
      <c r="E135" s="460" t="str">
        <f>'World Cup'!$W$70</f>
        <v/>
      </c>
      <c r="F135" s="400">
        <v>100</v>
      </c>
      <c r="G135" s="399" t="str">
        <f>INDEX(Matches!$B$4:$J$113,MATCH($F135,Matches!$B$4:$B$113,0),2)</f>
        <v>W95</v>
      </c>
      <c r="H135" s="399" t="str">
        <f>INDEX(Matches!$B$4:$J$113,MATCH($F135,Matches!$B$4:$B$113,0),3)</f>
        <v>W96</v>
      </c>
      <c r="I135" s="399" t="str">
        <f>IFERROR(VLOOKUP($F135,Matches!$B$4:$H$113,7,0),"")</f>
        <v>Kansas City</v>
      </c>
      <c r="J135" s="648"/>
      <c r="K135" s="649"/>
    </row>
    <row r="136" spans="1:11" x14ac:dyDescent="0.25">
      <c r="A136" s="415"/>
      <c r="B136" s="401"/>
      <c r="C136" s="402"/>
      <c r="D136" s="403"/>
      <c r="E136" s="403"/>
      <c r="F136" s="404"/>
      <c r="G136" s="405"/>
      <c r="H136" s="405"/>
      <c r="I136" s="405"/>
      <c r="J136" s="405"/>
      <c r="K136" s="406"/>
    </row>
    <row r="137" spans="1:11" x14ac:dyDescent="0.25">
      <c r="A137" s="4"/>
      <c r="B137" s="483" t="str">
        <f>Sprache!$E$259</f>
        <v>Halbfinale</v>
      </c>
      <c r="C137" s="484"/>
      <c r="D137" s="485"/>
      <c r="E137" s="485"/>
      <c r="F137" s="486"/>
      <c r="G137" s="487"/>
      <c r="H137" s="488"/>
      <c r="I137" s="488"/>
      <c r="J137" s="489"/>
      <c r="K137" s="490"/>
    </row>
    <row r="138" spans="1:11" x14ac:dyDescent="0.25">
      <c r="A138" s="4"/>
      <c r="B138" s="395">
        <f>INDEX(Matches!$B$4:$J$113,MATCH($F138,Matches!$B$4:$B$113,0),5)</f>
        <v>46217.875</v>
      </c>
      <c r="C138" s="396">
        <f>INDEX(Matches!$B$4:$J$113,MATCH($F138,Matches!$B$4:$B$113,0),5)</f>
        <v>46217.875</v>
      </c>
      <c r="D138" s="460" t="str">
        <f>'World Cup'!$F$80</f>
        <v/>
      </c>
      <c r="E138" s="460" t="str">
        <f>'World Cup'!$H$80</f>
        <v/>
      </c>
      <c r="F138" s="400">
        <v>101</v>
      </c>
      <c r="G138" s="399" t="str">
        <f>INDEX(Matches!$B$4:$J$113,MATCH($F138,Matches!$B$4:$B$113,0),2)</f>
        <v>W97</v>
      </c>
      <c r="H138" s="399" t="str">
        <f>INDEX(Matches!$B$4:$J$113,MATCH($F138,Matches!$B$4:$B$113,0),3)</f>
        <v>W98</v>
      </c>
      <c r="I138" s="399" t="str">
        <f>IFERROR(VLOOKUP($F138,Matches!$B$4:$H$113,7,0),"")</f>
        <v>Dallas</v>
      </c>
      <c r="J138" s="648"/>
      <c r="K138" s="649"/>
    </row>
    <row r="139" spans="1:11" x14ac:dyDescent="0.25">
      <c r="A139" s="4"/>
      <c r="B139" s="401"/>
      <c r="C139" s="402"/>
      <c r="D139" s="403"/>
      <c r="E139" s="403"/>
      <c r="F139" s="404"/>
      <c r="G139" s="405"/>
      <c r="H139" s="405"/>
      <c r="I139" s="405"/>
      <c r="J139" s="405"/>
      <c r="K139" s="406"/>
    </row>
    <row r="140" spans="1:11" x14ac:dyDescent="0.25">
      <c r="A140" s="4"/>
      <c r="B140" s="416">
        <f>INDEX(Matches!$B$4:$J$113,MATCH($F140,Matches!$B$4:$B$113,0),5)</f>
        <v>46218.875</v>
      </c>
      <c r="C140" s="417">
        <f>INDEX(Matches!$B$4:$J$113,MATCH($F140,Matches!$B$4:$B$113,0),5)</f>
        <v>46218.875</v>
      </c>
      <c r="D140" s="461" t="str">
        <f>'World Cup'!$R$80</f>
        <v/>
      </c>
      <c r="E140" s="461" t="str">
        <f>'World Cup'!$T$80</f>
        <v/>
      </c>
      <c r="F140" s="400">
        <v>102</v>
      </c>
      <c r="G140" s="399" t="str">
        <f>INDEX(Matches!$B$4:$J$113,MATCH($F140,Matches!$B$4:$B$113,0),2)</f>
        <v>W99</v>
      </c>
      <c r="H140" s="399" t="str">
        <f>INDEX(Matches!$B$4:$J$113,MATCH($F140,Matches!$B$4:$B$113,0),3)</f>
        <v>W100</v>
      </c>
      <c r="I140" s="399" t="str">
        <f>IFERROR(VLOOKUP($F140,Matches!$B$4:$H$113,7,0),"")</f>
        <v>Atlanta</v>
      </c>
      <c r="J140" s="648"/>
      <c r="K140" s="649"/>
    </row>
    <row r="141" spans="1:11" x14ac:dyDescent="0.25">
      <c r="A141" s="415"/>
      <c r="B141" s="401"/>
      <c r="C141" s="402"/>
      <c r="D141" s="403"/>
      <c r="E141" s="403"/>
      <c r="F141" s="404"/>
      <c r="G141" s="405"/>
      <c r="H141" s="405"/>
      <c r="I141" s="405"/>
      <c r="J141" s="405"/>
      <c r="K141" s="406"/>
    </row>
    <row r="142" spans="1:11" x14ac:dyDescent="0.25">
      <c r="A142" s="4"/>
      <c r="B142" s="483" t="str">
        <f>Sprache!$E$172</f>
        <v>Dritter Platz</v>
      </c>
      <c r="C142" s="484"/>
      <c r="D142" s="485"/>
      <c r="E142" s="485"/>
      <c r="F142" s="486"/>
      <c r="G142" s="487"/>
      <c r="H142" s="488"/>
      <c r="I142" s="488"/>
      <c r="J142" s="489"/>
      <c r="K142" s="490"/>
    </row>
    <row r="143" spans="1:11" x14ac:dyDescent="0.25">
      <c r="A143" s="4"/>
      <c r="B143" s="395">
        <f>INDEX(Matches!$B$4:$J$113,MATCH($F143,Matches!$B$4:$B$113,0),5)</f>
        <v>46221.958333333336</v>
      </c>
      <c r="C143" s="396">
        <f>INDEX(Matches!$B$4:$J$113,MATCH($F143,Matches!$B$4:$B$113,0),5)</f>
        <v>46221.958333333336</v>
      </c>
      <c r="D143" s="460" t="str">
        <f>'World Cup'!$L$88</f>
        <v/>
      </c>
      <c r="E143" s="460" t="str">
        <f>'World Cup'!$N$88</f>
        <v/>
      </c>
      <c r="F143" s="400">
        <v>103</v>
      </c>
      <c r="G143" s="399" t="str">
        <f>INDEX(Matches!$B$4:$J$113,MATCH($F143,Matches!$B$4:$B$113,0),2)</f>
        <v>RU101</v>
      </c>
      <c r="H143" s="399" t="str">
        <f>INDEX(Matches!$B$4:$J$113,MATCH($F143,Matches!$B$4:$B$113,0),3)</f>
        <v>RU102</v>
      </c>
      <c r="I143" s="399" t="str">
        <f>IFERROR(VLOOKUP($F143,Matches!$B$4:$H$113,7,0),"")</f>
        <v>Miami</v>
      </c>
      <c r="J143" s="648"/>
      <c r="K143" s="649"/>
    </row>
    <row r="144" spans="1:11" x14ac:dyDescent="0.25">
      <c r="A144" s="415"/>
      <c r="B144" s="401"/>
      <c r="C144" s="402"/>
      <c r="D144" s="403"/>
      <c r="E144" s="403"/>
      <c r="F144" s="404"/>
      <c r="G144" s="405"/>
      <c r="H144" s="405"/>
      <c r="I144" s="405"/>
      <c r="J144" s="405"/>
      <c r="K144" s="406"/>
    </row>
    <row r="145" spans="1:11" x14ac:dyDescent="0.25">
      <c r="A145" s="4"/>
      <c r="B145" s="483" t="str">
        <f>Sprache!$E$173</f>
        <v>Finale</v>
      </c>
      <c r="C145" s="484"/>
      <c r="D145" s="485"/>
      <c r="E145" s="485"/>
      <c r="F145" s="486"/>
      <c r="G145" s="487"/>
      <c r="H145" s="488"/>
      <c r="I145" s="488"/>
      <c r="J145" s="489"/>
      <c r="K145" s="490"/>
    </row>
    <row r="146" spans="1:11" ht="15.75" thickBot="1" x14ac:dyDescent="0.3">
      <c r="A146" s="4"/>
      <c r="B146" s="418">
        <f>INDEX(Matches!$B$4:$J$113,MATCH($F146,Matches!$B$4:$B$113,0),5)</f>
        <v>46222.875</v>
      </c>
      <c r="C146" s="419">
        <f>INDEX(Matches!$B$4:$J$113,MATCH($F146,Matches!$B$4:$B$113,0),5)</f>
        <v>46222.875</v>
      </c>
      <c r="D146" s="462" t="str">
        <f>'World Cup'!$L$98</f>
        <v/>
      </c>
      <c r="E146" s="462" t="str">
        <f>'World Cup'!$N$98</f>
        <v/>
      </c>
      <c r="F146" s="420">
        <v>104</v>
      </c>
      <c r="G146" s="421" t="str">
        <f>INDEX(Matches!$B$4:$J$113,MATCH($F146,Matches!$B$4:$B$113,0),2)</f>
        <v>W101</v>
      </c>
      <c r="H146" s="421" t="str">
        <f>INDEX(Matches!$B$4:$J$113,MATCH($F146,Matches!$B$4:$B$113,0),3)</f>
        <v>W102</v>
      </c>
      <c r="I146" s="421" t="str">
        <f>IFERROR(VLOOKUP($F146,Matches!$B$4:$H$113,7,0),"")</f>
        <v>New York/New Jersey</v>
      </c>
      <c r="J146" s="650"/>
      <c r="K146" s="651"/>
    </row>
    <row r="147" spans="1:11" ht="15.75" thickTop="1" x14ac:dyDescent="0.25"/>
    <row r="148" spans="1:11" x14ac:dyDescent="0.25"/>
    <row r="149" spans="1:11" x14ac:dyDescent="0.25"/>
    <row r="150" spans="1:11" hidden="1" x14ac:dyDescent="0.25"/>
    <row r="151" spans="1:11" hidden="1" x14ac:dyDescent="0.25"/>
    <row r="152" spans="1:11" hidden="1" x14ac:dyDescent="0.25"/>
    <row r="153" spans="1:11" hidden="1" x14ac:dyDescent="0.25"/>
    <row r="154" spans="1:11" hidden="1" x14ac:dyDescent="0.25"/>
    <row r="155" spans="1:11" hidden="1" x14ac:dyDescent="0.25"/>
    <row r="156" spans="1:11" hidden="1" x14ac:dyDescent="0.25"/>
    <row r="157" spans="1:11" hidden="1" x14ac:dyDescent="0.25"/>
    <row r="158" spans="1:11" hidden="1" x14ac:dyDescent="0.25"/>
    <row r="159" spans="1:11" hidden="1" x14ac:dyDescent="0.25"/>
    <row r="160" spans="1:11"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sheetData>
  <sheetProtection sheet="1" selectLockedCells="1"/>
  <mergeCells count="4">
    <mergeCell ref="B1:H1"/>
    <mergeCell ref="M2:N2"/>
    <mergeCell ref="G3:H3"/>
    <mergeCell ref="M3:N5"/>
  </mergeCells>
  <conditionalFormatting sqref="B4:B146">
    <cfRule type="expression" dxfId="18" priority="125">
      <formula>INT(B4)=TODAY()</formula>
    </cfRule>
  </conditionalFormatting>
  <conditionalFormatting sqref="D4:E146">
    <cfRule type="expression" dxfId="17" priority="126">
      <formula>AND(D4=$N$10,D4&lt;&gt;"")</formula>
    </cfRule>
    <cfRule type="expression" dxfId="16" priority="127">
      <formula>AND(D4=$N$9,D4&lt;&gt;"")</formula>
    </cfRule>
    <cfRule type="expression" dxfId="15" priority="128">
      <formula>AND(D4=$N$8,D4&lt;&gt;"")</formula>
    </cfRule>
    <cfRule type="expression" dxfId="14" priority="129">
      <formula>AND(D4=$N$7,D4&lt;&gt;"")</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3AEE2-7F81-4DDF-9EC5-2C482F896B90}">
  <sheetPr codeName="Tabelle25"/>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814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Argentinien</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3</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Algerien</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28</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Österreich</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24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Jordanien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63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Argentinien</v>
      </c>
      <c r="BF13" s="533" t="str">
        <v>Algerien</v>
      </c>
      <c r="BG13" s="533" t="str">
        <v>Österreich</v>
      </c>
      <c r="BH13" s="534" t="str">
        <v>Jordanien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Argentinien</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Argentinien</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Algerien</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Algerien</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Österreich</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Österreich</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Jordanien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Jordanien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Argentinien</v>
      </c>
      <c r="I21" s="562" t="str">
        <v>Algerien</v>
      </c>
      <c r="J21" s="562" t="str">
        <v>Österreich</v>
      </c>
      <c r="K21" s="563" t="str">
        <v>Jordanien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Argentinien</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3</v>
      </c>
      <c r="O22" s="572" t="s">
        <v>26</v>
      </c>
      <c r="P22" s="608" t="str">
        <f>INDEX('World Cup'!$B$13:$AJ$38,1,1+(CODE($B$1)-65)*3)</f>
        <v>Argentinien</v>
      </c>
      <c r="Q22" s="609" t="str">
        <f>INDEX('World Cup'!$B$13:$AJ$38,1,2+(CODE($B$1)-65)*3)</f>
        <v>Algerien</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ArgentinienAlgerien</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Algerien</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28</v>
      </c>
      <c r="O23" s="584" t="s">
        <v>27</v>
      </c>
      <c r="P23" s="611" t="str">
        <f>INDEX('World Cup'!$B$13:$AJ$38,6,1+(CODE($B$1)-65)*3)</f>
        <v>Österreich</v>
      </c>
      <c r="Q23" s="612" t="str">
        <f>INDEX('World Cup'!$B$13:$AJ$38,6,2+(CODE($B$1)-65)*3)</f>
        <v>Jordanien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ÖsterreichJordanien</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Österreich</v>
      </c>
      <c r="E24" s="631">
        <f t="shared" si="36"/>
        <v>0</v>
      </c>
      <c r="F24" s="504">
        <f t="shared" si="37"/>
        <v>0</v>
      </c>
      <c r="G24" s="638">
        <f t="shared" si="38"/>
        <v>0</v>
      </c>
      <c r="H24" s="568" t="str">
        <v/>
      </c>
      <c r="I24" s="504" t="str">
        <v/>
      </c>
      <c r="J24" s="569" t="str">
        <v/>
      </c>
      <c r="K24" s="634" t="str">
        <v/>
      </c>
      <c r="L24" s="621" t="b">
        <f t="shared" si="39"/>
        <v>0</v>
      </c>
      <c r="M24" s="621" t="b">
        <v>0</v>
      </c>
      <c r="N24" s="505">
        <f t="shared" si="40"/>
        <v>24</v>
      </c>
      <c r="O24" s="584" t="s">
        <v>28</v>
      </c>
      <c r="P24" s="611" t="str">
        <f>INDEX('World Cup'!$B$13:$AJ$38,11,1+(CODE($B$1)-65)*3)</f>
        <v>Argentinien</v>
      </c>
      <c r="Q24" s="612" t="str">
        <f>INDEX('World Cup'!$B$13:$AJ$38,11,2+(CODE($B$1)-65)*3)</f>
        <v>Österreich</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ArgentinienÖsterreich</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Jordanien</v>
      </c>
      <c r="E25" s="639">
        <f t="shared" si="36"/>
        <v>0</v>
      </c>
      <c r="F25" s="571">
        <f t="shared" si="37"/>
        <v>0</v>
      </c>
      <c r="G25" s="640">
        <f t="shared" si="38"/>
        <v>0</v>
      </c>
      <c r="H25" s="570" t="str">
        <v/>
      </c>
      <c r="I25" s="571" t="str">
        <v/>
      </c>
      <c r="J25" s="571" t="str">
        <v/>
      </c>
      <c r="K25" s="635" t="str">
        <v/>
      </c>
      <c r="L25" s="621" t="b">
        <f t="shared" si="39"/>
        <v>0</v>
      </c>
      <c r="M25" s="621" t="b">
        <v>0</v>
      </c>
      <c r="N25" s="505">
        <f t="shared" si="40"/>
        <v>63</v>
      </c>
      <c r="O25" s="584" t="s">
        <v>29</v>
      </c>
      <c r="P25" s="611" t="str">
        <f>INDEX('World Cup'!$B$13:$AJ$38,16,1+(CODE($B$1)-65)*3)</f>
        <v>Jordanien</v>
      </c>
      <c r="Q25" s="612" t="str">
        <f>INDEX('World Cup'!$B$13:$AJ$38,16,2+(CODE($B$1)-65)*3)</f>
        <v>Algerien</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JordanienAlgerien</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Algerien</v>
      </c>
      <c r="Q26" s="612" t="str">
        <f>INDEX('World Cup'!$B$13:$AJ$38,21,2+(CODE($B$1)-65)*3)</f>
        <v>Österreich</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AlgerienÖsterreich</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Jordanien</v>
      </c>
      <c r="Q27" s="615" t="str">
        <f>INDEX('World Cup'!$B$13:$AJ$38,26,2+(CODE($B$1)-65)*3)</f>
        <v>Argentinien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JordanienArgentinien</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AlgerienArgentinien</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JordanienÖsterreich</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ÖsterreichArgentinien</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AlgerienJordanien</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ÖsterreichAlgerien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ArgentinienJordanien</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AD4D3-A9D4-4561-AA0A-F1C50B23EE86}">
  <sheetPr codeName="Tabelle26"/>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33</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Portugal</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5</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DR Kongo</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46</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Usbekistan</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50</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Kolumbien</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13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Portugal</v>
      </c>
      <c r="BF13" s="533" t="str">
        <v>DR Kongo</v>
      </c>
      <c r="BG13" s="533" t="str">
        <v>Usbekistan</v>
      </c>
      <c r="BH13" s="534" t="str">
        <v>Kolumbien</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Portugal</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Portugal</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DR Kongo</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DR Kongo</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Usbekistan</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Usbekistan</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Kolumbien</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Kolumbien</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Portugal</v>
      </c>
      <c r="I21" s="562" t="str">
        <v>DR Kongo</v>
      </c>
      <c r="J21" s="562" t="str">
        <v>Usbekistan</v>
      </c>
      <c r="K21" s="563" t="str">
        <v>Kolumbien</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Portugal</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5</v>
      </c>
      <c r="O22" s="572" t="s">
        <v>26</v>
      </c>
      <c r="P22" s="608" t="str">
        <f>INDEX('World Cup'!$B$13:$AJ$38,1,1+(CODE($B$1)-65)*3)</f>
        <v>Portugal</v>
      </c>
      <c r="Q22" s="609" t="str">
        <f>INDEX('World Cup'!$B$13:$AJ$38,1,2+(CODE($B$1)-65)*3)</f>
        <v>DR Kongo</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PortugalDR Kongo</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DR Kongo</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46</v>
      </c>
      <c r="O23" s="584" t="s">
        <v>27</v>
      </c>
      <c r="P23" s="611" t="str">
        <f>INDEX('World Cup'!$B$13:$AJ$38,6,1+(CODE($B$1)-65)*3)</f>
        <v>Usbekistan</v>
      </c>
      <c r="Q23" s="612" t="str">
        <f>INDEX('World Cup'!$B$13:$AJ$38,6,2+(CODE($B$1)-65)*3)</f>
        <v>Kolumbien</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UsbekistanKolumbien</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Usbekistan</v>
      </c>
      <c r="E24" s="631">
        <f t="shared" si="36"/>
        <v>0</v>
      </c>
      <c r="F24" s="504">
        <f t="shared" si="37"/>
        <v>0</v>
      </c>
      <c r="G24" s="638">
        <f t="shared" si="38"/>
        <v>0</v>
      </c>
      <c r="H24" s="568" t="str">
        <v/>
      </c>
      <c r="I24" s="504" t="str">
        <v/>
      </c>
      <c r="J24" s="569" t="str">
        <v/>
      </c>
      <c r="K24" s="634" t="str">
        <v/>
      </c>
      <c r="L24" s="621" t="b">
        <f t="shared" si="39"/>
        <v>0</v>
      </c>
      <c r="M24" s="621" t="b">
        <v>0</v>
      </c>
      <c r="N24" s="505">
        <f t="shared" si="40"/>
        <v>50</v>
      </c>
      <c r="O24" s="584" t="s">
        <v>28</v>
      </c>
      <c r="P24" s="611" t="str">
        <f>INDEX('World Cup'!$B$13:$AJ$38,11,1+(CODE($B$1)-65)*3)</f>
        <v>Portugal</v>
      </c>
      <c r="Q24" s="612" t="str">
        <f>INDEX('World Cup'!$B$13:$AJ$38,11,2+(CODE($B$1)-65)*3)</f>
        <v>Usbekistan</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PortugalUsbekistan</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Kolumbien</v>
      </c>
      <c r="E25" s="639">
        <f t="shared" si="36"/>
        <v>0</v>
      </c>
      <c r="F25" s="571">
        <f t="shared" si="37"/>
        <v>0</v>
      </c>
      <c r="G25" s="640">
        <f t="shared" si="38"/>
        <v>0</v>
      </c>
      <c r="H25" s="570" t="str">
        <v/>
      </c>
      <c r="I25" s="571" t="str">
        <v/>
      </c>
      <c r="J25" s="571" t="str">
        <v/>
      </c>
      <c r="K25" s="635" t="str">
        <v/>
      </c>
      <c r="L25" s="621" t="b">
        <f t="shared" si="39"/>
        <v>0</v>
      </c>
      <c r="M25" s="621" t="b">
        <v>0</v>
      </c>
      <c r="N25" s="505">
        <f t="shared" si="40"/>
        <v>13</v>
      </c>
      <c r="O25" s="584" t="s">
        <v>29</v>
      </c>
      <c r="P25" s="611" t="str">
        <f>INDEX('World Cup'!$B$13:$AJ$38,16,1+(CODE($B$1)-65)*3)</f>
        <v>Kolumbien</v>
      </c>
      <c r="Q25" s="612" t="str">
        <f>INDEX('World Cup'!$B$13:$AJ$38,16,2+(CODE($B$1)-65)*3)</f>
        <v>DR Kongo</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KolumbienDR Kongo</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Kolumbien</v>
      </c>
      <c r="Q26" s="612" t="str">
        <f>INDEX('World Cup'!$B$13:$AJ$38,21,2+(CODE($B$1)-65)*3)</f>
        <v>Portugal</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KolumbienPortugal</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DR Kongo</v>
      </c>
      <c r="Q27" s="615" t="str">
        <f>INDEX('World Cup'!$B$13:$AJ$38,26,2+(CODE($B$1)-65)*3)</f>
        <v>Usbekistan</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DR KongoUsbekistan</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DR KongoPortugal</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KolumbienUsbekistan</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UsbekistanPortugal</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DR KongoKolumbien</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PortugalKolumbien</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UsbekistanDR Kongo</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3B4F2-82A4-48D2-857A-E602D2ADE18E}">
  <sheetPr codeName="Tabelle27"/>
  <dimension ref="B1:CH34"/>
  <sheetViews>
    <sheetView zoomScaleNormal="100" workbookViewId="0"/>
  </sheetViews>
  <sheetFormatPr baseColWidth="10" defaultColWidth="2.7109375" defaultRowHeight="12" x14ac:dyDescent="0.2"/>
  <cols>
    <col min="1" max="1" width="2.7109375" style="605"/>
    <col min="2" max="2" width="6.140625" style="605" customWidth="1"/>
    <col min="3" max="3" width="4" style="605" customWidth="1"/>
    <col min="4" max="4" width="15.28515625" style="605" customWidth="1"/>
    <col min="5" max="5" width="5.5703125" style="605" customWidth="1"/>
    <col min="6" max="6" width="6.5703125" style="605" customWidth="1"/>
    <col min="7" max="7" width="6" style="605" customWidth="1"/>
    <col min="8" max="8" width="5.140625" style="605" customWidth="1"/>
    <col min="9" max="9" width="4.7109375" style="605" customWidth="1"/>
    <col min="10" max="10" width="4.85546875" style="605" customWidth="1"/>
    <col min="11" max="11" width="5.5703125" style="605" customWidth="1"/>
    <col min="12" max="12" width="5.28515625" style="605" customWidth="1"/>
    <col min="13" max="14" width="4.85546875" style="605" customWidth="1"/>
    <col min="15" max="15" width="5" style="605" customWidth="1"/>
    <col min="16" max="16" width="7.42578125" style="605" customWidth="1"/>
    <col min="17" max="37" width="4.7109375" style="605" customWidth="1"/>
    <col min="38" max="38" width="5.42578125" style="605" customWidth="1"/>
    <col min="39" max="40" width="4.7109375" style="605" customWidth="1"/>
    <col min="41" max="41" width="5.7109375" style="605" customWidth="1"/>
    <col min="42" max="42" width="8.85546875" style="605" customWidth="1"/>
    <col min="43" max="46" width="4.7109375" style="605" customWidth="1"/>
    <col min="47" max="48" width="5.7109375" style="605" customWidth="1"/>
    <col min="49" max="49" width="1.5703125" style="605" customWidth="1"/>
    <col min="50" max="51" width="3.7109375" style="605" customWidth="1"/>
    <col min="52" max="52" width="13.5703125" style="605" customWidth="1"/>
    <col min="53" max="54" width="2.7109375" style="605"/>
    <col min="55" max="55" width="2.7109375" style="605" customWidth="1"/>
    <col min="56" max="56" width="1.28515625" style="605" customWidth="1"/>
    <col min="57" max="60" width="4.7109375" style="605" customWidth="1"/>
    <col min="61" max="62" width="5.7109375" style="605" customWidth="1"/>
    <col min="63" max="64" width="3.7109375" style="605" customWidth="1"/>
    <col min="65" max="65" width="1.7109375" style="605" customWidth="1"/>
    <col min="66" max="66" width="14.28515625" style="605" customWidth="1"/>
    <col min="67" max="67" width="2.7109375" style="605" customWidth="1"/>
    <col min="68" max="69" width="2.7109375" style="605"/>
    <col min="70" max="70" width="1.5703125" style="605" customWidth="1"/>
    <col min="71" max="74" width="4.7109375" style="605" customWidth="1"/>
    <col min="75" max="75" width="5.7109375" style="605" customWidth="1"/>
    <col min="76" max="76" width="3.7109375" style="605" customWidth="1"/>
    <col min="77" max="77" width="1.5703125" style="605" customWidth="1"/>
    <col min="78" max="78" width="14.28515625" style="605" customWidth="1"/>
    <col min="79" max="82" width="2.7109375" style="605"/>
    <col min="83" max="86" width="4.7109375" style="605" customWidth="1"/>
    <col min="87" max="16384" width="2.7109375" style="605"/>
  </cols>
  <sheetData>
    <row r="1" spans="2:86" ht="18" x14ac:dyDescent="0.2">
      <c r="B1" s="607" t="s">
        <v>34</v>
      </c>
    </row>
    <row r="2" spans="2:86" s="502" customFormat="1" x14ac:dyDescent="0.25">
      <c r="B2" s="527"/>
      <c r="C2" s="644"/>
      <c r="D2" s="527"/>
      <c r="F2" s="642"/>
      <c r="G2" s="643"/>
    </row>
    <row r="3" spans="2:86" s="502" customFormat="1" x14ac:dyDescent="0.25">
      <c r="B3" s="508"/>
      <c r="C3" s="504"/>
      <c r="E3" s="642"/>
      <c r="F3" s="526"/>
      <c r="G3" s="642"/>
      <c r="H3" s="505"/>
      <c r="I3" s="505"/>
      <c r="J3" s="505"/>
      <c r="K3" s="505"/>
      <c r="L3" s="505"/>
      <c r="M3" s="505"/>
      <c r="N3" s="505"/>
      <c r="O3" s="504"/>
      <c r="P3" s="505"/>
      <c r="Q3" s="527"/>
      <c r="R3" s="645"/>
      <c r="S3" s="508"/>
      <c r="T3" s="508"/>
      <c r="U3" s="645"/>
      <c r="V3" s="508"/>
      <c r="W3" s="508"/>
      <c r="X3" s="645"/>
      <c r="Y3" s="513"/>
      <c r="Z3" s="508"/>
      <c r="AA3" s="508"/>
      <c r="AB3" s="645"/>
      <c r="AC3" s="513"/>
      <c r="AD3" s="508"/>
      <c r="AE3" s="508"/>
      <c r="AF3" s="645"/>
      <c r="AG3" s="513"/>
      <c r="AH3" s="508"/>
      <c r="AI3" s="508"/>
      <c r="AJ3" s="645"/>
      <c r="AK3" s="530"/>
      <c r="AL3" s="508"/>
      <c r="AM3" s="645"/>
      <c r="AN3" s="527"/>
      <c r="AO3" s="527"/>
    </row>
    <row r="4" spans="2:86" s="502" customFormat="1" ht="13.5" customHeight="1" x14ac:dyDescent="0.25">
      <c r="B4" s="508"/>
      <c r="C4" s="505"/>
      <c r="D4" s="504"/>
      <c r="E4" s="642"/>
      <c r="F4" s="526"/>
      <c r="G4" s="642"/>
      <c r="H4" s="510" t="s">
        <v>1081</v>
      </c>
      <c r="I4" s="510" t="s">
        <v>1082</v>
      </c>
      <c r="J4" s="510" t="s">
        <v>189</v>
      </c>
      <c r="K4" s="511" t="s">
        <v>1080</v>
      </c>
      <c r="L4" s="510" t="s">
        <v>1740</v>
      </c>
      <c r="M4" s="511" t="s">
        <v>1741</v>
      </c>
      <c r="N4" s="511" t="s">
        <v>25</v>
      </c>
      <c r="O4" s="512" t="s">
        <v>34</v>
      </c>
      <c r="P4" s="646" t="s">
        <v>30</v>
      </c>
      <c r="Q4" s="511" t="s">
        <v>1765</v>
      </c>
      <c r="R4" s="510"/>
      <c r="S4" s="513"/>
      <c r="T4" s="508"/>
      <c r="U4" s="531"/>
      <c r="V4" s="508"/>
      <c r="W4" s="508"/>
      <c r="X4" s="531"/>
      <c r="Y4" s="513"/>
      <c r="Z4" s="508"/>
      <c r="AA4" s="508"/>
      <c r="AB4" s="531"/>
      <c r="AC4" s="513"/>
      <c r="AD4" s="508"/>
      <c r="AE4" s="508"/>
      <c r="AF4" s="531"/>
      <c r="AG4" s="513"/>
      <c r="AH4" s="508"/>
      <c r="AI4" s="508"/>
      <c r="AJ4" s="531"/>
      <c r="AK4" s="530"/>
      <c r="AL4" s="508"/>
      <c r="AM4" s="531"/>
      <c r="AN4" s="527"/>
      <c r="AO4" s="508"/>
    </row>
    <row r="5" spans="2:86" s="502" customFormat="1" x14ac:dyDescent="0.25">
      <c r="B5" s="504"/>
      <c r="C5" s="505">
        <v>1</v>
      </c>
      <c r="D5" s="617" t="str">
        <f>VLOOKUP($B$1&amp;ROW($A1),Groups!$B$7:$D$65,3,0)</f>
        <v>England</v>
      </c>
      <c r="E5" s="669"/>
      <c r="F5" s="515"/>
      <c r="G5" s="526"/>
      <c r="H5" s="505">
        <f>SUMIFS($R$22:$R$27,$P$22:$P$27,$D5)+SUMIFS($S$22:$S$27,$Q$22:$Q$27,$D5)</f>
        <v>0</v>
      </c>
      <c r="I5" s="505">
        <f>SUMIFS($S$22:$S$27,$P$22:$P$27,$D5)+SUMIFS($R$22:$R$27,$Q$22:$Q$27,$D5)</f>
        <v>0</v>
      </c>
      <c r="J5" s="504">
        <f t="shared" ref="J5:J8" si="0">H5-I5</f>
        <v>0</v>
      </c>
      <c r="K5" s="516">
        <f>M5*3+N5</f>
        <v>0</v>
      </c>
      <c r="L5" s="505">
        <f>M5+N5+O5</f>
        <v>0</v>
      </c>
      <c r="M5" s="505">
        <f>SUMPRODUCT(($P$22:$P$27=D5)*($R$22:$R$27&gt;$S$22:$S$27))+SUMPRODUCT(($Q$22:$Q$27=D5)*($R$22:$R$27&lt;$S$22:$S$27))</f>
        <v>0</v>
      </c>
      <c r="N5" s="505">
        <f>SUMPRODUCT(($P$22:$Q$27=D5)*($R$22:$R$27=$S$22:$S$27)*($R$22:$R$27&lt;&gt;"")*($S$22:$S$27&lt;&gt;""))</f>
        <v>0</v>
      </c>
      <c r="O5" s="505">
        <f>SUMPRODUCT(($P$22:$P$27=D5)*($R$22:$R$27&lt;$S$22:$S$27))+SUMPRODUCT(($Q$22:$Q$27=D5)*($R$22:$R$27&gt;$S$22:$S$27))</f>
        <v>0</v>
      </c>
      <c r="P5" s="517">
        <f>SUMIFS(FairPlay!$C$6:$C$27,FairPlay!$B$6:$B$27,$D5)+SUMIFS(FairPlay!$F$6:$F$27,FairPlay!$E$6:$E$27,$D5)+SUMIFS(FairPlay!$I$6:$I$27,FairPlay!$H$6:$H$27,$D5)</f>
        <v>0</v>
      </c>
      <c r="Q5" s="504">
        <f>INDEX(Sprache!$D$5:$D$100,MATCH($D5,Sprache!$E$5:$E$100,0),1)</f>
        <v>4</v>
      </c>
      <c r="R5" s="652">
        <f>(1000-Q5)*($L$9&gt;0)</f>
        <v>0</v>
      </c>
      <c r="S5" s="504"/>
      <c r="T5" s="504"/>
      <c r="U5" s="520"/>
      <c r="V5" s="504"/>
      <c r="W5" s="504"/>
      <c r="X5" s="520"/>
      <c r="Y5" s="504"/>
      <c r="Z5" s="504"/>
      <c r="AA5" s="504"/>
      <c r="AB5" s="520"/>
      <c r="AC5" s="504"/>
      <c r="AD5" s="504"/>
      <c r="AE5" s="504"/>
      <c r="AF5" s="520"/>
      <c r="AG5" s="504"/>
      <c r="AH5" s="504"/>
      <c r="AI5" s="504"/>
      <c r="AJ5" s="520"/>
      <c r="AK5" s="504"/>
      <c r="AL5" s="504"/>
      <c r="AM5" s="520"/>
      <c r="AN5" s="527"/>
      <c r="AO5" s="622"/>
      <c r="AU5" s="621" t="b">
        <f t="array" ref="AU5:AU8">COUNTIF($AM$14:$AM$17,$AM$14:$AM$17)&gt;1</f>
        <v>1</v>
      </c>
      <c r="AV5" s="621" t="b">
        <f t="array" ref="AV5:AV8">$L$5:$L$8&gt;0</f>
        <v>0</v>
      </c>
      <c r="BA5" s="671">
        <f>IFERROR(MATCH($C14,$AY$14:$AY$17,0),99)</f>
        <v>1</v>
      </c>
      <c r="BB5" s="672">
        <f>IFERROR(MATCH($C14,$AY$22:$AY$25,0),99)</f>
        <v>99</v>
      </c>
      <c r="BN5" s="671" t="str">
        <f>IF($U14=$BL$14,$C14,"")</f>
        <v/>
      </c>
      <c r="BO5" s="672" t="str">
        <f>INDEX($BN$5:$BN$8,MATCH($C14,$AY$14:$AY$17,0))</f>
        <v/>
      </c>
      <c r="BZ5" s="671" t="str">
        <f>IF($U14=$BX$14,$C14,"")</f>
        <v/>
      </c>
      <c r="CA5" s="672" t="str">
        <f>INDEX($BZ$5:$BZ$8,MATCH($C14,$AY$14:$AY$17,0))</f>
        <v/>
      </c>
    </row>
    <row r="6" spans="2:86" s="502" customFormat="1" x14ac:dyDescent="0.25">
      <c r="B6" s="504"/>
      <c r="C6" s="505">
        <v>2</v>
      </c>
      <c r="D6" s="618" t="str">
        <f>VLOOKUP($B$1&amp;ROW($A2),Groups!$B$7:$D$65,3,0)</f>
        <v>Kroatien</v>
      </c>
      <c r="E6" s="670"/>
      <c r="F6" s="515"/>
      <c r="G6" s="526"/>
      <c r="H6" s="505">
        <f>SUMIFS($R$22:$R$27,$P$22:$P$27,$D6)+SUMIFS($S$22:$S$27,$Q$22:$Q$27,$D6)</f>
        <v>0</v>
      </c>
      <c r="I6" s="505">
        <f>SUMIFS($S$22:$S$27,$P$22:$P$27,$D6)+SUMIFS($R$22:$R$27,$Q$22:$Q$27,$D6)</f>
        <v>0</v>
      </c>
      <c r="J6" s="504">
        <f t="shared" si="0"/>
        <v>0</v>
      </c>
      <c r="K6" s="516">
        <f t="shared" ref="K6:K8" si="1">M6*3+N6</f>
        <v>0</v>
      </c>
      <c r="L6" s="505">
        <f t="shared" ref="L6:L8" si="2">M6+N6+O6</f>
        <v>0</v>
      </c>
      <c r="M6" s="505">
        <f>SUMPRODUCT(($P$22:$P$27=D6)*($R$22:$R$27&gt;$S$22:$S$27))+SUMPRODUCT(($Q$22:$Q$27=D6)*($R$22:$R$27&lt;$S$22:$S$27))</f>
        <v>0</v>
      </c>
      <c r="N6" s="505">
        <f>SUMPRODUCT(($P$22:$Q$27=D6)*($R$22:$R$27=$S$22:$S$27)*($R$22:$R$27&lt;&gt;"")*($S$22:$S$27&lt;&gt;""))</f>
        <v>0</v>
      </c>
      <c r="O6" s="505">
        <f>SUMPRODUCT(($P$22:$P$27=D6)*($R$22:$R$27&lt;$S$22:$S$27))+SUMPRODUCT(($Q$22:$Q$27=D6)*($R$22:$R$27&gt;$S$22:$S$27))</f>
        <v>0</v>
      </c>
      <c r="P6" s="523">
        <f>SUMIFS(FairPlay!$C$6:$C$27,FairPlay!$B$6:$B$27,$D6)+SUMIFS(FairPlay!$F$6:$F$27,FairPlay!$E$6:$E$27,$D6)+SUMIFS(FairPlay!$I$6:$I$27,FairPlay!$H$6:$H$27,$D6)</f>
        <v>0</v>
      </c>
      <c r="Q6" s="504">
        <f>INDEX(Sprache!$D$5:$D$100,MATCH($D6,Sprache!$E$5:$E$100,0),1)</f>
        <v>11</v>
      </c>
      <c r="R6" s="652">
        <f t="shared" ref="R6:R8" si="3">(1000-Q6)*($L$9&gt;0)</f>
        <v>0</v>
      </c>
      <c r="S6" s="504"/>
      <c r="T6" s="504"/>
      <c r="U6" s="520"/>
      <c r="V6" s="504"/>
      <c r="W6" s="504"/>
      <c r="X6" s="520"/>
      <c r="Y6" s="504"/>
      <c r="Z6" s="504"/>
      <c r="AA6" s="504"/>
      <c r="AB6" s="520"/>
      <c r="AC6" s="504"/>
      <c r="AD6" s="504"/>
      <c r="AE6" s="504"/>
      <c r="AF6" s="520"/>
      <c r="AG6" s="504"/>
      <c r="AH6" s="504"/>
      <c r="AI6" s="504"/>
      <c r="AJ6" s="520"/>
      <c r="AK6" s="504"/>
      <c r="AL6" s="504"/>
      <c r="AM6" s="520"/>
      <c r="AN6" s="527"/>
      <c r="AO6" s="527"/>
      <c r="AU6" s="621" t="b">
        <v>1</v>
      </c>
      <c r="AV6" s="621" t="b">
        <v>0</v>
      </c>
      <c r="BA6" s="673">
        <f t="shared" ref="BA6:BA8" si="4">IFERROR(MATCH($C15,$AY$14:$AY$17,0),99)</f>
        <v>2</v>
      </c>
      <c r="BB6" s="674">
        <f t="shared" ref="BB6:BB8" si="5">IFERROR(MATCH($C15,$AY$22:$AY$25,0),99)</f>
        <v>99</v>
      </c>
      <c r="BN6" s="673" t="str">
        <f t="shared" ref="BN6:BN8" si="6">IF($U15=$BL$14,$C15,"")</f>
        <v/>
      </c>
      <c r="BO6" s="674" t="str">
        <f t="shared" ref="BO6:BO8" si="7">INDEX($BN$5:$BN$8,MATCH($C15,$AY$14:$AY$17,0))</f>
        <v/>
      </c>
      <c r="BZ6" s="673" t="str">
        <f t="shared" ref="BZ6:BZ8" si="8">IF($U15=$BX$14,$C15,"")</f>
        <v/>
      </c>
      <c r="CA6" s="674" t="str">
        <f t="shared" ref="CA6:CA8" si="9">INDEX($BZ$5:$BZ$8,MATCH($C15,$AY$14:$AY$17,0))</f>
        <v/>
      </c>
    </row>
    <row r="7" spans="2:86" s="502" customFormat="1" x14ac:dyDescent="0.25">
      <c r="B7" s="504"/>
      <c r="C7" s="505">
        <v>3</v>
      </c>
      <c r="D7" s="618" t="str">
        <f>VLOOKUP($B$1&amp;ROW($A3),Groups!$B$7:$D$65,3,0)</f>
        <v>Ghana</v>
      </c>
      <c r="E7" s="670"/>
      <c r="F7" s="515"/>
      <c r="G7" s="526"/>
      <c r="H7" s="505">
        <f>SUMIFS($R$22:$R$27,$P$22:$P$27,$D7)+SUMIFS($S$22:$S$27,$Q$22:$Q$27,$D7)</f>
        <v>0</v>
      </c>
      <c r="I7" s="505">
        <f>SUMIFS($S$22:$S$27,$P$22:$P$27,$D7)+SUMIFS($R$22:$R$27,$Q$22:$Q$27,$D7)</f>
        <v>0</v>
      </c>
      <c r="J7" s="504">
        <f t="shared" si="0"/>
        <v>0</v>
      </c>
      <c r="K7" s="516">
        <f t="shared" si="1"/>
        <v>0</v>
      </c>
      <c r="L7" s="505">
        <f t="shared" si="2"/>
        <v>0</v>
      </c>
      <c r="M7" s="505">
        <f>SUMPRODUCT(($P$22:$P$27=D7)*($R$22:$R$27&gt;$S$22:$S$27))+SUMPRODUCT(($Q$22:$Q$27=D7)*($R$22:$R$27&lt;$S$22:$S$27))</f>
        <v>0</v>
      </c>
      <c r="N7" s="505">
        <f>SUMPRODUCT(($P$22:$Q$27=D7)*($R$22:$R$27=$S$22:$S$27)*($R$22:$R$27&lt;&gt;"")*($S$22:$S$27&lt;&gt;""))</f>
        <v>0</v>
      </c>
      <c r="O7" s="505">
        <f>SUMPRODUCT(($P$22:$P$27=D7)*($R$22:$R$27&lt;$S$22:$S$27))+SUMPRODUCT(($Q$22:$Q$27=D7)*($R$22:$R$27&gt;$S$22:$S$27))</f>
        <v>0</v>
      </c>
      <c r="P7" s="523">
        <f>SUMIFS(FairPlay!$C$6:$C$27,FairPlay!$B$6:$B$27,$D7)+SUMIFS(FairPlay!$F$6:$F$27,FairPlay!$E$6:$E$27,$D7)+SUMIFS(FairPlay!$I$6:$I$27,FairPlay!$H$6:$H$27,$D7)</f>
        <v>0</v>
      </c>
      <c r="Q7" s="504">
        <f>INDEX(Sprache!$D$5:$D$100,MATCH($D7,Sprache!$E$5:$E$100,0),1)</f>
        <v>74</v>
      </c>
      <c r="R7" s="652">
        <f t="shared" si="3"/>
        <v>0</v>
      </c>
      <c r="S7" s="504"/>
      <c r="T7" s="504"/>
      <c r="U7" s="520"/>
      <c r="V7" s="504"/>
      <c r="W7" s="504"/>
      <c r="X7" s="520"/>
      <c r="Y7" s="504"/>
      <c r="Z7" s="504"/>
      <c r="AA7" s="504"/>
      <c r="AB7" s="520"/>
      <c r="AC7" s="504"/>
      <c r="AD7" s="504"/>
      <c r="AE7" s="504"/>
      <c r="AF7" s="520"/>
      <c r="AG7" s="504"/>
      <c r="AH7" s="504"/>
      <c r="AI7" s="504"/>
      <c r="AJ7" s="520"/>
      <c r="AK7" s="504"/>
      <c r="AL7" s="504"/>
      <c r="AM7" s="520"/>
      <c r="AN7" s="527"/>
      <c r="AO7" s="527"/>
      <c r="AU7" s="621" t="b">
        <v>1</v>
      </c>
      <c r="AV7" s="621" t="b">
        <v>0</v>
      </c>
      <c r="BA7" s="673">
        <f t="shared" si="4"/>
        <v>3</v>
      </c>
      <c r="BB7" s="674">
        <f t="shared" si="5"/>
        <v>99</v>
      </c>
      <c r="BN7" s="673" t="str">
        <f t="shared" si="6"/>
        <v/>
      </c>
      <c r="BO7" s="674" t="str">
        <f t="shared" si="7"/>
        <v/>
      </c>
      <c r="BZ7" s="673" t="str">
        <f t="shared" si="8"/>
        <v/>
      </c>
      <c r="CA7" s="674" t="str">
        <f t="shared" si="9"/>
        <v/>
      </c>
    </row>
    <row r="8" spans="2:86" s="502" customFormat="1" x14ac:dyDescent="0.25">
      <c r="B8" s="504"/>
      <c r="C8" s="505">
        <v>4</v>
      </c>
      <c r="D8" s="619" t="str">
        <f>VLOOKUP($B$1&amp;ROW($A4),Groups!$B$7:$D$65,3,0)</f>
        <v>Panama</v>
      </c>
      <c r="E8" s="670"/>
      <c r="F8" s="515"/>
      <c r="G8" s="526"/>
      <c r="H8" s="505">
        <f>SUMIFS($R$22:$R$27,$P$22:$P$27,$D8)+SUMIFS($S$22:$S$27,$Q$22:$Q$27,$D8)</f>
        <v>0</v>
      </c>
      <c r="I8" s="505">
        <f>SUMIFS($S$22:$S$27,$P$22:$P$27,$D8)+SUMIFS($R$22:$R$27,$Q$22:$Q$27,$D8)</f>
        <v>0</v>
      </c>
      <c r="J8" s="504">
        <f t="shared" si="0"/>
        <v>0</v>
      </c>
      <c r="K8" s="516">
        <f t="shared" si="1"/>
        <v>0</v>
      </c>
      <c r="L8" s="505">
        <f t="shared" si="2"/>
        <v>0</v>
      </c>
      <c r="M8" s="505">
        <f>SUMPRODUCT(($P$22:$P$27=D8)*($R$22:$R$27&gt;$S$22:$S$27))+SUMPRODUCT(($Q$22:$Q$27=D8)*($R$22:$R$27&lt;$S$22:$S$27))</f>
        <v>0</v>
      </c>
      <c r="N8" s="505">
        <f>SUMPRODUCT(($P$22:$Q$27=D8)*($R$22:$R$27=$S$22:$S$27)*($R$22:$R$27&lt;&gt;"")*($S$22:$S$27&lt;&gt;""))</f>
        <v>0</v>
      </c>
      <c r="O8" s="505">
        <f>SUMPRODUCT(($P$22:$P$27=D8)*($R$22:$R$27&lt;$S$22:$S$27))+SUMPRODUCT(($Q$22:$Q$27=D8)*($R$22:$R$27&gt;$S$22:$S$27))</f>
        <v>0</v>
      </c>
      <c r="P8" s="620">
        <f>SUMIFS(FairPlay!$C$6:$C$27,FairPlay!$B$6:$B$27,$D8)+SUMIFS(FairPlay!$F$6:$F$27,FairPlay!$E$6:$E$27,$D8)+SUMIFS(FairPlay!$I$6:$I$27,FairPlay!$H$6:$H$27,$D8)</f>
        <v>0</v>
      </c>
      <c r="Q8" s="504">
        <f>INDEX(Sprache!$D$5:$D$100,MATCH($D8,Sprache!$E$5:$E$100,0),1)</f>
        <v>33</v>
      </c>
      <c r="R8" s="652">
        <f t="shared" si="3"/>
        <v>0</v>
      </c>
      <c r="S8" s="504"/>
      <c r="T8" s="504"/>
      <c r="U8" s="520"/>
      <c r="V8" s="504"/>
      <c r="W8" s="504"/>
      <c r="X8" s="520"/>
      <c r="Y8" s="504"/>
      <c r="Z8" s="504"/>
      <c r="AA8" s="504"/>
      <c r="AB8" s="520"/>
      <c r="AC8" s="504"/>
      <c r="AD8" s="504"/>
      <c r="AE8" s="504"/>
      <c r="AF8" s="520"/>
      <c r="AG8" s="504"/>
      <c r="AH8" s="504"/>
      <c r="AI8" s="504"/>
      <c r="AJ8" s="520"/>
      <c r="AK8" s="504"/>
      <c r="AL8" s="504"/>
      <c r="AM8" s="520"/>
      <c r="AN8" s="527"/>
      <c r="AO8" s="527"/>
      <c r="AU8" s="621" t="b">
        <v>1</v>
      </c>
      <c r="AV8" s="621" t="b">
        <v>0</v>
      </c>
      <c r="BA8" s="675">
        <f t="shared" si="4"/>
        <v>4</v>
      </c>
      <c r="BB8" s="676">
        <f t="shared" si="5"/>
        <v>99</v>
      </c>
      <c r="BN8" s="675" t="str">
        <f t="shared" si="6"/>
        <v/>
      </c>
      <c r="BO8" s="676" t="str">
        <f t="shared" si="7"/>
        <v/>
      </c>
      <c r="BZ8" s="675" t="str">
        <f t="shared" si="8"/>
        <v/>
      </c>
      <c r="CA8" s="676" t="str">
        <f t="shared" si="9"/>
        <v/>
      </c>
    </row>
    <row r="9" spans="2:86" s="502" customFormat="1" x14ac:dyDescent="0.25">
      <c r="C9" s="504"/>
      <c r="D9" s="504"/>
      <c r="E9" s="504"/>
      <c r="F9" s="526"/>
      <c r="G9" s="526"/>
      <c r="H9" s="504"/>
      <c r="I9" s="504"/>
      <c r="J9" s="504"/>
      <c r="K9" s="504"/>
      <c r="L9" s="516">
        <f>QUOTIENT(SUM(L5:L8),2)</f>
        <v>0</v>
      </c>
      <c r="M9" s="505"/>
      <c r="N9" s="505"/>
      <c r="O9" s="505"/>
      <c r="P9" s="504"/>
      <c r="Q9" s="504"/>
      <c r="R9" s="504"/>
      <c r="S9" s="504"/>
      <c r="T9" s="504"/>
      <c r="U9" s="504"/>
      <c r="V9" s="527"/>
      <c r="W9" s="527"/>
      <c r="X9" s="504"/>
      <c r="Y9" s="504"/>
      <c r="Z9" s="504"/>
      <c r="AA9" s="527"/>
      <c r="AB9" s="527"/>
      <c r="AC9" s="527"/>
      <c r="AD9" s="527"/>
      <c r="AE9" s="527"/>
      <c r="AF9" s="527"/>
      <c r="AG9" s="527"/>
      <c r="AH9" s="527"/>
      <c r="AI9" s="527"/>
    </row>
    <row r="10" spans="2:86" s="502" customFormat="1" x14ac:dyDescent="0.25">
      <c r="C10" s="504"/>
      <c r="D10" s="504"/>
      <c r="E10" s="504"/>
      <c r="F10" s="526"/>
      <c r="G10" s="526"/>
      <c r="H10" s="504"/>
      <c r="I10" s="504"/>
      <c r="J10" s="504"/>
      <c r="K10" s="504"/>
      <c r="L10" s="516"/>
      <c r="M10" s="505"/>
      <c r="N10" s="505"/>
      <c r="O10" s="505"/>
      <c r="P10" s="504"/>
      <c r="Q10" s="504"/>
      <c r="R10" s="504"/>
      <c r="S10" s="504"/>
      <c r="T10" s="504"/>
      <c r="U10" s="504"/>
      <c r="V10" s="527"/>
      <c r="W10" s="527"/>
      <c r="X10" s="504"/>
      <c r="Y10" s="504"/>
      <c r="Z10" s="504"/>
      <c r="AA10" s="527"/>
      <c r="AB10" s="527"/>
      <c r="AC10" s="527"/>
      <c r="AD10" s="527"/>
      <c r="AE10" s="527"/>
      <c r="AF10" s="527"/>
      <c r="AG10" s="527"/>
      <c r="AH10" s="527"/>
      <c r="AI10" s="527"/>
    </row>
    <row r="11" spans="2:86" s="502" customFormat="1" x14ac:dyDescent="0.25">
      <c r="C11" s="504"/>
      <c r="D11" s="504"/>
      <c r="E11" s="504"/>
      <c r="F11" s="526"/>
      <c r="G11" s="526"/>
      <c r="H11" s="504"/>
      <c r="I11" s="504"/>
      <c r="J11" s="504"/>
      <c r="K11" s="504"/>
      <c r="L11" s="516"/>
      <c r="M11" s="505"/>
      <c r="N11" s="505"/>
      <c r="O11" s="505"/>
      <c r="P11" s="504"/>
      <c r="Q11" s="504"/>
      <c r="R11" s="504"/>
      <c r="S11" s="504"/>
      <c r="T11" s="504"/>
      <c r="U11" s="504"/>
      <c r="V11" s="527"/>
      <c r="W11" s="527"/>
      <c r="X11" s="504"/>
      <c r="Y11" s="504"/>
      <c r="Z11" s="504"/>
      <c r="AA11" s="527"/>
      <c r="AB11" s="527"/>
      <c r="AC11" s="527"/>
      <c r="AD11" s="527"/>
      <c r="AE11" s="527"/>
      <c r="AF11" s="527"/>
      <c r="AG11" s="527"/>
      <c r="AH11" s="527"/>
      <c r="AI11" s="527"/>
      <c r="BL11" s="526"/>
    </row>
    <row r="12" spans="2:86" s="528" customFormat="1" x14ac:dyDescent="0.25">
      <c r="E12" s="503" t="s">
        <v>1736</v>
      </c>
      <c r="F12" s="509"/>
      <c r="G12" s="503" t="s">
        <v>1736</v>
      </c>
      <c r="H12" s="509"/>
      <c r="I12" s="506" t="s">
        <v>1736</v>
      </c>
      <c r="J12" s="509"/>
      <c r="K12" s="508" t="s">
        <v>1750</v>
      </c>
      <c r="L12" s="503"/>
      <c r="M12" s="506" t="s">
        <v>1736</v>
      </c>
      <c r="N12" s="509"/>
      <c r="O12" s="508" t="s">
        <v>1750</v>
      </c>
      <c r="P12" s="503"/>
      <c r="Q12" s="506" t="s">
        <v>1736</v>
      </c>
      <c r="R12" s="509"/>
      <c r="S12" s="508" t="s">
        <v>1750</v>
      </c>
      <c r="T12" s="503"/>
      <c r="U12" s="506" t="s">
        <v>1736</v>
      </c>
      <c r="V12" s="507"/>
      <c r="W12" s="508" t="s">
        <v>1751</v>
      </c>
      <c r="X12" s="503"/>
      <c r="Y12" s="506" t="s">
        <v>1736</v>
      </c>
      <c r="Z12" s="507"/>
      <c r="AA12" s="508" t="s">
        <v>1751</v>
      </c>
      <c r="AB12" s="503"/>
      <c r="AC12" s="506" t="s">
        <v>1736</v>
      </c>
      <c r="AD12" s="507"/>
      <c r="AE12" s="508" t="s">
        <v>1751</v>
      </c>
      <c r="AF12" s="503"/>
      <c r="AG12" s="506" t="s">
        <v>1736</v>
      </c>
      <c r="AH12" s="503"/>
      <c r="AI12" s="503" t="s">
        <v>189</v>
      </c>
      <c r="AJ12" s="506" t="s">
        <v>1736</v>
      </c>
      <c r="AK12" s="503"/>
      <c r="AL12" s="503" t="s">
        <v>1081</v>
      </c>
      <c r="AM12" s="506" t="s">
        <v>1736</v>
      </c>
      <c r="AN12" s="509"/>
      <c r="AO12" s="503" t="s">
        <v>1737</v>
      </c>
      <c r="AP12" s="506" t="s">
        <v>1736</v>
      </c>
      <c r="AR12" s="503" t="s">
        <v>1765</v>
      </c>
      <c r="AS12" s="506" t="s">
        <v>1736</v>
      </c>
      <c r="AT12" s="506"/>
      <c r="AZ12" s="627" t="s">
        <v>1757</v>
      </c>
      <c r="BJ12" s="626" t="s">
        <v>1755</v>
      </c>
      <c r="BL12" s="526"/>
      <c r="BN12" s="627" t="s">
        <v>1759</v>
      </c>
      <c r="BZ12" s="627" t="s">
        <v>1760</v>
      </c>
    </row>
    <row r="13" spans="2:86" s="528" customFormat="1" ht="12.75" thickBot="1" x14ac:dyDescent="0.3">
      <c r="B13" s="529"/>
      <c r="C13" s="529"/>
      <c r="D13" s="529"/>
      <c r="E13" s="508" t="s">
        <v>1738</v>
      </c>
      <c r="F13" s="530"/>
      <c r="G13" s="508" t="s">
        <v>1739</v>
      </c>
      <c r="H13" s="530"/>
      <c r="I13" s="531" t="s">
        <v>1742</v>
      </c>
      <c r="J13" s="530"/>
      <c r="K13" s="508" t="s">
        <v>1080</v>
      </c>
      <c r="L13" s="508" t="s">
        <v>1743</v>
      </c>
      <c r="M13" s="531" t="s">
        <v>1744</v>
      </c>
      <c r="N13" s="509"/>
      <c r="O13" s="508" t="s">
        <v>189</v>
      </c>
      <c r="P13" s="508" t="s">
        <v>1743</v>
      </c>
      <c r="Q13" s="531" t="s">
        <v>1745</v>
      </c>
      <c r="R13" s="509"/>
      <c r="S13" s="508" t="s">
        <v>1081</v>
      </c>
      <c r="T13" s="508" t="s">
        <v>1743</v>
      </c>
      <c r="U13" s="531" t="s">
        <v>1746</v>
      </c>
      <c r="V13" s="530"/>
      <c r="W13" s="508" t="s">
        <v>1080</v>
      </c>
      <c r="X13" s="508" t="s">
        <v>1743</v>
      </c>
      <c r="Y13" s="531" t="s">
        <v>1747</v>
      </c>
      <c r="Z13" s="530"/>
      <c r="AA13" s="508" t="s">
        <v>189</v>
      </c>
      <c r="AB13" s="508" t="s">
        <v>1743</v>
      </c>
      <c r="AC13" s="531" t="s">
        <v>1748</v>
      </c>
      <c r="AD13" s="530"/>
      <c r="AE13" s="508" t="s">
        <v>1081</v>
      </c>
      <c r="AF13" s="508" t="s">
        <v>1743</v>
      </c>
      <c r="AG13" s="531" t="s">
        <v>1749</v>
      </c>
      <c r="AH13" s="508"/>
      <c r="AI13" s="508" t="s">
        <v>1743</v>
      </c>
      <c r="AJ13" s="531" t="s">
        <v>1752</v>
      </c>
      <c r="AK13" s="508"/>
      <c r="AL13" s="508" t="s">
        <v>1743</v>
      </c>
      <c r="AM13" s="531" t="s">
        <v>1753</v>
      </c>
      <c r="AN13" s="509"/>
      <c r="AO13" s="508" t="s">
        <v>1743</v>
      </c>
      <c r="AP13" s="531" t="s">
        <v>1754</v>
      </c>
      <c r="AR13" s="508" t="s">
        <v>1743</v>
      </c>
      <c r="AS13" s="531" t="s">
        <v>1766</v>
      </c>
      <c r="AT13" s="531"/>
      <c r="AU13" s="508" t="s">
        <v>1762</v>
      </c>
      <c r="AV13" s="508" t="s">
        <v>1762</v>
      </c>
      <c r="AX13" s="626" t="s">
        <v>1761</v>
      </c>
      <c r="AY13" s="626" t="s">
        <v>1763</v>
      </c>
      <c r="BE13" s="532" t="str">
        <f t="array" ref="BE13:BH13">TRANSPOSE($AZ$14:$AZ$17)</f>
        <v>England</v>
      </c>
      <c r="BF13" s="533" t="str">
        <v>Kroatien</v>
      </c>
      <c r="BG13" s="533" t="str">
        <v>Ghana</v>
      </c>
      <c r="BH13" s="534" t="str">
        <v>Panama</v>
      </c>
      <c r="BJ13" s="626" t="s">
        <v>1756</v>
      </c>
      <c r="BL13" s="626" t="s">
        <v>1761</v>
      </c>
      <c r="BS13" s="532" t="str">
        <f t="array" ref="BS13:BV13">TRANSPOSE($BN$14:$BN$17)</f>
        <v/>
      </c>
      <c r="BT13" s="533" t="str">
        <v/>
      </c>
      <c r="BU13" s="533" t="str">
        <v/>
      </c>
      <c r="BV13" s="534" t="str">
        <v/>
      </c>
      <c r="BX13" s="626" t="s">
        <v>1761</v>
      </c>
      <c r="CE13" s="532" t="str">
        <f t="array" ref="CE13:CH13">TRANSPOSE($BZ$14:$BZ$17)</f>
        <v/>
      </c>
      <c r="CF13" s="533" t="str">
        <v/>
      </c>
      <c r="CG13" s="533" t="str">
        <v/>
      </c>
      <c r="CH13" s="534" t="str">
        <v/>
      </c>
    </row>
    <row r="14" spans="2:86" s="528" customFormat="1" ht="13.5" thickTop="1" thickBot="1" x14ac:dyDescent="0.3">
      <c r="B14" s="529"/>
      <c r="C14" s="535">
        <v>1</v>
      </c>
      <c r="D14" s="526" t="str">
        <f>$D5</f>
        <v>England</v>
      </c>
      <c r="E14" s="514">
        <f>RANK(F14,$F$14:$F$17,1)</f>
        <v>1</v>
      </c>
      <c r="F14" s="515">
        <f>G14+ROW()/1000+(D14="")*10</f>
        <v>1.014</v>
      </c>
      <c r="G14" s="653">
        <f>AS14</f>
        <v>1</v>
      </c>
      <c r="H14" s="519"/>
      <c r="I14" s="518">
        <f>RANK($K5,$K$5:$K$8)</f>
        <v>1</v>
      </c>
      <c r="J14" s="630"/>
      <c r="K14" s="536">
        <f t="array" ref="K14">SUMPRODUCT($U$22:$U$27*($P$22:$P$27=$D14)*ISNUMBER(MATCH($Q$22:$Q$27,IF($I$14:$I$17=$I14,$D$14:$D$17,""),0)))+SUMPRODUCT($V$22:$V$27*($Q$22:$Q$27=$D14)*ISNUMBER(MATCH($P$22:$P$27,IF($I$14:$I$17=$I14,$D$14:$D$17,""),0)))</f>
        <v>0</v>
      </c>
      <c r="L14" s="537">
        <f>COUNTIFS($K$14:$K$17,"&gt;"&amp;$K14,$I$14:$I$17,"="&amp;$I14)</f>
        <v>0</v>
      </c>
      <c r="M14" s="521">
        <f t="shared" ref="M14:M17" si="10">I14+L14</f>
        <v>1</v>
      </c>
      <c r="N14" s="519"/>
      <c r="O14" s="536">
        <f t="array" ref="O14">SUMPRODUCT($W$22:$W$27*($P$22:$P$27=$D14)*ISNUMBER(MATCH($Q$22:$Q$27,IF($I$14:$I$17=$I14,$D$14:$D$17,""),0)))+SUMPRODUCT(-$W$22:$W$27*($Q$22:$Q$27=$D14)*ISNUMBER(MATCH($P$22:$P$27,IF($I$14:$I$17=$I14,$D$14:$D$17,""),0)))</f>
        <v>0</v>
      </c>
      <c r="P14" s="537">
        <f>COUNTIFS($O$14:$O$17,"&gt;"&amp;$O14,$M$14:$M$17,"="&amp;$M14)</f>
        <v>0</v>
      </c>
      <c r="Q14" s="521">
        <f t="shared" ref="Q14:Q17" si="11">M14+P14</f>
        <v>1</v>
      </c>
      <c r="R14" s="519"/>
      <c r="S14" s="536">
        <f t="array" ref="S14">SUMPRODUCT($X$22:$X$27*($P$22:$P$27=$D14)*ISNUMBER(MATCH($Q$22:$Q$27,IF($I$14:$I$17=$I14,$D$14:$D$17,""),0)))+SUMPRODUCT($Y$22:$Y$27*($Q$22:$Q$27=$D14)*ISNUMBER(MATCH($P$22:$P$27,IF($I$14:$I$17=$I14,$D$14:$D$17,""),0)))</f>
        <v>0</v>
      </c>
      <c r="T14" s="537">
        <f>COUNTIFS($S$14:$S$17,"&gt;"&amp;$S14,$Q$14:$Q$17,"="&amp;$Q14)</f>
        <v>0</v>
      </c>
      <c r="U14" s="521">
        <f t="shared" ref="U14:U17" si="12">Q14+T14</f>
        <v>1</v>
      </c>
      <c r="V14" s="630"/>
      <c r="W14" s="536">
        <f t="array" ref="W14">SUMPRODUCT($U$22:$U$27*($P$22:$P$27=$D14)*ISNUMBER(MATCH($Q$22:$Q$27,IF($U$14:$U$17=$U14,$D$14:$D$17,""),0)))+SUMPRODUCT($V$22:$V$27*($Q$22:$Q$27=$D14)*ISNUMBER(MATCH($P$22:$P$27,IF($U$14:$U$17=$U14,$D$14:$D$17,""),0)))</f>
        <v>0</v>
      </c>
      <c r="X14" s="537">
        <f>COUNTIFS($W$14:$W$17,"&gt;"&amp;$W14,$U$14:$U$17,"="&amp;$U14)</f>
        <v>0</v>
      </c>
      <c r="Y14" s="521">
        <f t="shared" ref="Y14:Y17" si="13">U14+X14</f>
        <v>1</v>
      </c>
      <c r="Z14" s="519"/>
      <c r="AA14" s="536">
        <f t="array" ref="AA14">SUMPRODUCT($W$22:$W$27*($P$22:$P$27=$D14)*ISNUMBER(MATCH($Q$22:$Q$27,IF($U$14:$U$17=$U14,$D$14:$D$17,""),0)))+SUMPRODUCT(-$W$22:$W$27*($Q$22:$Q$27=$D14)*ISNUMBER(MATCH($P$22:$P$27,IF($U$14:$U$17=$U14,$D$14:$D$17,""),0)))</f>
        <v>0</v>
      </c>
      <c r="AB14" s="537">
        <f>COUNTIFS($AA$14:$AA$17,"&gt;"&amp;$AA14,$Y$14:$Y$17,"="&amp;$Y14)</f>
        <v>0</v>
      </c>
      <c r="AC14" s="521">
        <f t="shared" ref="AC14:AC17" si="14">Y14+AB14</f>
        <v>1</v>
      </c>
      <c r="AD14" s="519"/>
      <c r="AE14" s="536">
        <f t="array" ref="AE14">SUMPRODUCT($X$22:$X$27*($P$22:$P$27=$D14)*ISNUMBER(MATCH($Q$22:$Q$27,IF($U$14:$U$17=$U14,$D$14:$D$17,""),0)))+SUMPRODUCT($Y$22:$Y$27*($Q$22:$Q$27=$D14)*ISNUMBER(MATCH($P$22:$P$27,IF($U$14:$U$17=$U14,$D$14:$D$17,""),0)))</f>
        <v>0</v>
      </c>
      <c r="AF14" s="537">
        <f>COUNTIFS($AE$14:$AE$17,"&gt;"&amp;$AE14,$AC$14:$AC$17,"="&amp;$AC14)</f>
        <v>0</v>
      </c>
      <c r="AG14" s="521">
        <f t="shared" ref="AG14:AG17" si="15">AC14+AF14</f>
        <v>1</v>
      </c>
      <c r="AH14" s="630"/>
      <c r="AI14" s="538">
        <f>COUNTIFS($J$5:$J$8,"&gt;"&amp;$J5,$AG$14:$AG$17,"="&amp;$AG14)</f>
        <v>0</v>
      </c>
      <c r="AJ14" s="539">
        <f>AG14+AI14</f>
        <v>1</v>
      </c>
      <c r="AK14" s="519"/>
      <c r="AL14" s="538">
        <f>COUNTIFS($H$5:$H$8,"&gt;"&amp;$H5,$AJ$14:$AJ$17,"="&amp;$AJ14)</f>
        <v>0</v>
      </c>
      <c r="AM14" s="539">
        <f>AJ14+AL14</f>
        <v>1</v>
      </c>
      <c r="AN14" s="519"/>
      <c r="AO14" s="538">
        <f>COUNTIFS($P$5:$P$8,"&gt;"&amp;$P5,$AM$14:$AM$17,"="&amp;$AM14)</f>
        <v>0</v>
      </c>
      <c r="AP14" s="539">
        <f t="shared" ref="AP14:AP17" si="16">AM14+AO14</f>
        <v>1</v>
      </c>
      <c r="AQ14" s="519"/>
      <c r="AR14" s="538">
        <f>COUNTIFS($R$5:$R$8,"&gt;"&amp;$R5,$AP$14:$AP$17,"="&amp;$AP14)</f>
        <v>0</v>
      </c>
      <c r="AS14" s="539">
        <f t="shared" ref="AS14:AS17" si="17">AP14+AR14</f>
        <v>1</v>
      </c>
      <c r="AT14" s="519"/>
      <c r="AU14" s="647" t="b">
        <f t="array" ref="AU14">AND($L$9&gt;0,(SUM(($AM$14:$AM$17=TRANSPOSE($AM$14:$AM$17))*(($L$5:$L$8&gt;0)*TRANSPOSE($L$5:$L$8)+({1;2;3;4}={1,2,3,4})&gt;0))-4)&gt;0)</f>
        <v>0</v>
      </c>
      <c r="AV14" s="553" t="b">
        <f>AND($AU5,$AV5)</f>
        <v>0</v>
      </c>
      <c r="AX14" s="628">
        <f t="array" ref="AX14">IFERROR(SMALL(IF(COUNTIF($I$14:$I$17,$C$14:$C$17)&gt;1,$C$14:$C$17,""),1),"")</f>
        <v>1</v>
      </c>
      <c r="AY14" s="553">
        <f>IFERROR(INDEX($E$14:$E$17,IF($I14=$AX$14,$C14,99)),0)</f>
        <v>1</v>
      </c>
      <c r="AZ14" s="540" t="str">
        <f t="array" ref="AZ14:AZ17">IFERROR(VLOOKUP($BA$5:$BA$8,$C$14:$D$17,2,0),"")</f>
        <v>England</v>
      </c>
      <c r="BA14" s="543">
        <f t="array" ref="BA14:BA17">IFERROR(VLOOKUP($BA$5:$BA$8,$C$14:$K$17,9,0),"")</f>
        <v>0</v>
      </c>
      <c r="BB14" s="543">
        <f t="array" ref="BB14:BB17">IFERROR(VLOOKUP($BA$5:$BA$8,$C$14:$O$17,13,0),"")</f>
        <v>0</v>
      </c>
      <c r="BC14" s="545">
        <f t="array" ref="BC14:BC17">IFERROR(VLOOKUP($BA$5:$BA$8,$C$14:$S$17,17,0),"")</f>
        <v>0</v>
      </c>
      <c r="BE14" s="548" t="str">
        <f t="array" ref="BE14:BH17">IFERROR(VLOOKUP($AZ$14:$AZ$17&amp;$BE$13:$BH$13,$Z$22:$AA$33,2,0),"")</f>
        <v/>
      </c>
      <c r="BF14" s="549" t="str">
        <v/>
      </c>
      <c r="BG14" s="549" t="str">
        <v/>
      </c>
      <c r="BH14" s="550" t="str">
        <v/>
      </c>
      <c r="BI14" s="553"/>
      <c r="BJ14" s="625" t="b">
        <f>COUNTIF($I$14:$I$17,$BL$15)&lt;&gt;COUNTIF($U$14:$U$17,$BL$15)</f>
        <v>0</v>
      </c>
      <c r="BK14" s="517">
        <f t="array" ref="BK14:BK17">IF($I$14:$I$17=$AX$14,$U$14:$U$17,0)</f>
        <v>1</v>
      </c>
      <c r="BL14" s="629" t="str">
        <f>IF($BJ$14,$BL$15,"")</f>
        <v/>
      </c>
      <c r="BM14" s="558"/>
      <c r="BN14" s="540" t="str">
        <f t="array" ref="BN14:BN17">IFERROR(VLOOKUP($BO$5:$BO$8,$C$14:$D$17,2,0),"")</f>
        <v/>
      </c>
      <c r="BO14" s="543" t="str">
        <f t="array" ref="BO14:BO17">IFERROR(VLOOKUP($BO$5:$BO$8,$C$14:$W$17,21,0),"")</f>
        <v/>
      </c>
      <c r="BP14" s="543" t="str">
        <f t="array" ref="BP14:BP17">IFERROR(VLOOKUP($BO$5:$BO$8,$C$14:$AA$17,25,0),"")</f>
        <v/>
      </c>
      <c r="BQ14" s="545" t="str">
        <f t="array" ref="BQ14:BQ17">IFERROR(VLOOKUP($BO$5:$BO$8,$C$14:$AE$17,29,0),"")</f>
        <v/>
      </c>
      <c r="BS14" s="548" t="str">
        <f t="array" ref="BS14:BV17">IFERROR(VLOOKUP($BN$14:$BN$17&amp;$BS$13:$BV$13,$Z$22:$AA$33,2,0),"")</f>
        <v/>
      </c>
      <c r="BT14" s="549" t="str">
        <v/>
      </c>
      <c r="BU14" s="549" t="str">
        <v/>
      </c>
      <c r="BV14" s="550" t="str">
        <v/>
      </c>
      <c r="BX14" s="628" t="str">
        <f t="array" ref="BX14">IFERROR(SMALL(IF(COUNTIF($BK$14:$BK$17,$C$14:$C$17)&gt;1,$C$14:$C$17,""),2),"")</f>
        <v/>
      </c>
      <c r="BZ14" s="540" t="str">
        <f t="array" ref="BZ14:BZ17">IFERROR(VLOOKUP($CA$5:$CA$8,$C$14:$D$17,2,0),"")</f>
        <v/>
      </c>
      <c r="CA14" s="543" t="str">
        <f t="array" ref="CA14:CA17">IFERROR(VLOOKUP($CA$5:$CA$8,$C$14:$W$17,21,0),"")</f>
        <v/>
      </c>
      <c r="CB14" s="543" t="str">
        <f t="array" ref="CB14:CB17">IFERROR(VLOOKUP($CA$5:$CA$8,$C$14:$AA$17,25,0),"")</f>
        <v/>
      </c>
      <c r="CC14" s="545" t="str">
        <f t="array" ref="CC14:CC17">IFERROR(VLOOKUP($CA$5:$CA$8,$C$14:$AE$17,29,0),"")</f>
        <v/>
      </c>
      <c r="CE14" s="548" t="str">
        <f t="array" ref="CE14:CH17">IFERROR(VLOOKUP($BZ$14:$BZ$17&amp;$CE$13:$CH$13,$Z$22:$AA$33,2,0),"")</f>
        <v/>
      </c>
      <c r="CF14" s="549" t="str">
        <v/>
      </c>
      <c r="CG14" s="549" t="str">
        <v/>
      </c>
      <c r="CH14" s="550" t="str">
        <v/>
      </c>
    </row>
    <row r="15" spans="2:86" s="528" customFormat="1" x14ac:dyDescent="0.25">
      <c r="B15" s="529"/>
      <c r="C15" s="535">
        <v>2</v>
      </c>
      <c r="D15" s="526" t="str">
        <f t="shared" ref="D15:D17" si="18">$D6</f>
        <v>Kroatien</v>
      </c>
      <c r="E15" s="522">
        <f t="shared" ref="E15:E17" si="19">RANK(F15,$F$14:$F$17,1)</f>
        <v>2</v>
      </c>
      <c r="F15" s="515">
        <f t="shared" ref="F15:F17" si="20">G15+ROW()/1000+(D15="")*10</f>
        <v>1.0149999999999999</v>
      </c>
      <c r="G15" s="653">
        <f t="shared" ref="G15:G17" si="21">AS15</f>
        <v>1</v>
      </c>
      <c r="H15" s="519"/>
      <c r="I15" s="524">
        <f t="shared" ref="I15:I17" si="22">RANK($K6,$K$5:$K$8)</f>
        <v>1</v>
      </c>
      <c r="J15" s="630"/>
      <c r="K15" s="505">
        <f t="array" ref="K15">SUMPRODUCT($U$22:$U$27*($P$22:$P$27=$D15)*ISNUMBER(MATCH($Q$22:$Q$27,IF($I$14:$I$17=$I15,$D$14:$D$17,""),0)))+SUMPRODUCT($V$22:$V$27*($Q$22:$Q$27=$D15)*ISNUMBER(MATCH($P$22:$P$27,IF($I$14:$I$17=$I15,$D$14:$D$17,""),0)))</f>
        <v>0</v>
      </c>
      <c r="L15" s="504">
        <f>COUNTIFS($K$14:$K$17,"&gt;"&amp;$K15,$I$14:$I$17,"="&amp;$I15)</f>
        <v>0</v>
      </c>
      <c r="M15" s="520">
        <f t="shared" si="10"/>
        <v>1</v>
      </c>
      <c r="N15" s="519"/>
      <c r="O15" s="505">
        <f t="array" ref="O15">SUMPRODUCT($W$22:$W$27*($P$22:$P$27=$D15)*ISNUMBER(MATCH($Q$22:$Q$27,IF($I$14:$I$17=$I15,$D$14:$D$17,""),0)))+SUMPRODUCT(-$W$22:$W$27*($Q$22:$Q$27=$D15)*ISNUMBER(MATCH($P$22:$P$27,IF($I$14:$I$17=$I15,$D$14:$D$17,""),0)))</f>
        <v>0</v>
      </c>
      <c r="P15" s="504">
        <f>COUNTIFS($O$14:$O$17,"&gt;"&amp;$O15,$M$14:$M$17,"="&amp;$M15)</f>
        <v>0</v>
      </c>
      <c r="Q15" s="520">
        <f t="shared" si="11"/>
        <v>1</v>
      </c>
      <c r="R15" s="519"/>
      <c r="S15" s="505">
        <f t="array" ref="S15">SUMPRODUCT($X$22:$X$27*($P$22:$P$27=$D15)*ISNUMBER(MATCH($Q$22:$Q$27,IF($I$14:$I$17=$I15,$D$14:$D$17,""),0)))+SUMPRODUCT($Y$22:$Y$27*($Q$22:$Q$27=$D15)*ISNUMBER(MATCH($P$22:$P$27,IF($I$14:$I$17=$I15,$D$14:$D$17,""),0)))</f>
        <v>0</v>
      </c>
      <c r="T15" s="504">
        <f>COUNTIFS($S$14:$S$17,"&gt;"&amp;$S15,$Q$14:$Q$17,"="&amp;$Q15)</f>
        <v>0</v>
      </c>
      <c r="U15" s="520">
        <f t="shared" si="12"/>
        <v>1</v>
      </c>
      <c r="V15" s="630"/>
      <c r="W15" s="505">
        <f t="array" ref="W15">SUMPRODUCT($U$22:$U$27*($P$22:$P$27=$D15)*ISNUMBER(MATCH($Q$22:$Q$27,IF($U$14:$U$17=$U15,$D$14:$D$17,""),0)))+SUMPRODUCT($V$22:$V$27*($Q$22:$Q$27=$D15)*ISNUMBER(MATCH($P$22:$P$27,IF($U$14:$U$17=$U15,$D$14:$D$17,""),0)))</f>
        <v>0</v>
      </c>
      <c r="X15" s="504">
        <f>COUNTIFS($W$14:$W$17,"&gt;"&amp;$W15,$U$14:$U$17,"="&amp;$U15)</f>
        <v>0</v>
      </c>
      <c r="Y15" s="520">
        <f t="shared" si="13"/>
        <v>1</v>
      </c>
      <c r="Z15" s="519"/>
      <c r="AA15" s="505">
        <f t="array" ref="AA15">SUMPRODUCT($W$22:$W$27*($P$22:$P$27=$D15)*ISNUMBER(MATCH($Q$22:$Q$27,IF($U$14:$U$17=$U15,$D$14:$D$17,""),0)))+SUMPRODUCT(-$W$22:$W$27*($Q$22:$Q$27=$D15)*ISNUMBER(MATCH($P$22:$P$27,IF($U$14:$U$17=$U15,$D$14:$D$17,""),0)))</f>
        <v>0</v>
      </c>
      <c r="AB15" s="504">
        <f>COUNTIFS($AA$14:$AA$17,"&gt;"&amp;$AA15,$Y$14:$Y$17,"="&amp;$Y15)</f>
        <v>0</v>
      </c>
      <c r="AC15" s="520">
        <f t="shared" si="14"/>
        <v>1</v>
      </c>
      <c r="AD15" s="519"/>
      <c r="AE15" s="505">
        <f t="array" ref="AE15">SUMPRODUCT($X$22:$X$27*($P$22:$P$27=$D15)*ISNUMBER(MATCH($Q$22:$Q$27,IF($U$14:$U$17=$U15,$D$14:$D$17,""),0)))+SUMPRODUCT($Y$22:$Y$27*($Q$22:$Q$27=$D15)*ISNUMBER(MATCH($P$22:$P$27,IF($U$14:$U$17=$U15,$D$14:$D$17,""),0)))</f>
        <v>0</v>
      </c>
      <c r="AF15" s="504">
        <f>COUNTIFS($AE$14:$AE$17,"&gt;"&amp;$AE15,$AC$14:$AC$17,"="&amp;$AC15)</f>
        <v>0</v>
      </c>
      <c r="AG15" s="520">
        <f t="shared" si="15"/>
        <v>1</v>
      </c>
      <c r="AH15" s="630"/>
      <c r="AI15" s="526">
        <f>COUNTIFS($J$5:$J$8,"&gt;"&amp;$J6,$AG$14:$AG$17,"="&amp;$AG15)</f>
        <v>0</v>
      </c>
      <c r="AJ15" s="520">
        <f t="shared" ref="AJ15:AJ17" si="23">AG15+AI15</f>
        <v>1</v>
      </c>
      <c r="AK15" s="519"/>
      <c r="AL15" s="526">
        <f>COUNTIFS($H$5:$H$8,"&gt;"&amp;$H6,$AJ$14:$AJ$17,"="&amp;$AJ15)</f>
        <v>0</v>
      </c>
      <c r="AM15" s="520">
        <f t="shared" ref="AM15:AM17" si="24">AJ15+AL15</f>
        <v>1</v>
      </c>
      <c r="AN15" s="519"/>
      <c r="AO15" s="526">
        <f>COUNTIFS($P$5:$P$8,"&gt;"&amp;$P6,$AM$14:$AM$17,"="&amp;$AM15)</f>
        <v>0</v>
      </c>
      <c r="AP15" s="520">
        <f t="shared" si="16"/>
        <v>1</v>
      </c>
      <c r="AQ15" s="519"/>
      <c r="AR15" s="526">
        <f t="shared" ref="AR15:AR17" si="25">COUNTIFS($R$5:$R$8,"&gt;"&amp;$R6,$AP$14:$AP$17,"="&amp;$AP15)</f>
        <v>0</v>
      </c>
      <c r="AS15" s="520">
        <f t="shared" si="17"/>
        <v>1</v>
      </c>
      <c r="AT15" s="519"/>
      <c r="AV15" s="553" t="b">
        <f t="shared" ref="AV15:AV17" si="26">AND($AU6,$AV6)</f>
        <v>0</v>
      </c>
      <c r="AX15" s="624"/>
      <c r="AY15" s="553">
        <f t="shared" ref="AY15:AY17" si="27">IFERROR(INDEX($E$14:$E$17,IF($I15=$AX$14,$C15,99)),0)</f>
        <v>2</v>
      </c>
      <c r="AZ15" s="541" t="str">
        <v>Kroatien</v>
      </c>
      <c r="BA15" s="526">
        <v>0</v>
      </c>
      <c r="BB15" s="526">
        <v>0</v>
      </c>
      <c r="BC15" s="546">
        <v>0</v>
      </c>
      <c r="BE15" s="551" t="str">
        <v/>
      </c>
      <c r="BF15" s="552" t="str">
        <v/>
      </c>
      <c r="BG15" s="553" t="str">
        <v/>
      </c>
      <c r="BH15" s="554" t="str">
        <v/>
      </c>
      <c r="BI15" s="553"/>
      <c r="BK15" s="523">
        <v>1</v>
      </c>
      <c r="BL15" s="632">
        <f t="array" ref="BL15">IFERROR(SMALL(IF(COUNTIF($BK$14:$BK$17,$C$14:$C$17)&gt;1,$C$14:$C$17,""),1),"")</f>
        <v>1</v>
      </c>
      <c r="BN15" s="541" t="str">
        <v/>
      </c>
      <c r="BO15" s="526" t="str">
        <v/>
      </c>
      <c r="BP15" s="526" t="str">
        <v/>
      </c>
      <c r="BQ15" s="546" t="str">
        <v/>
      </c>
      <c r="BS15" s="551" t="str">
        <v/>
      </c>
      <c r="BT15" s="552" t="str">
        <v/>
      </c>
      <c r="BU15" s="553" t="str">
        <v/>
      </c>
      <c r="BV15" s="554" t="str">
        <v/>
      </c>
      <c r="BZ15" s="541" t="str">
        <v/>
      </c>
      <c r="CA15" s="526" t="str">
        <v/>
      </c>
      <c r="CB15" s="526" t="str">
        <v/>
      </c>
      <c r="CC15" s="546" t="str">
        <v/>
      </c>
      <c r="CE15" s="551" t="str">
        <v/>
      </c>
      <c r="CF15" s="552" t="str">
        <v/>
      </c>
      <c r="CG15" s="553" t="str">
        <v/>
      </c>
      <c r="CH15" s="554" t="str">
        <v/>
      </c>
    </row>
    <row r="16" spans="2:86" s="528" customFormat="1" x14ac:dyDescent="0.25">
      <c r="B16" s="529"/>
      <c r="C16" s="535">
        <v>3</v>
      </c>
      <c r="D16" s="526" t="str">
        <f t="shared" si="18"/>
        <v>Ghana</v>
      </c>
      <c r="E16" s="522">
        <f t="shared" si="19"/>
        <v>3</v>
      </c>
      <c r="F16" s="515">
        <f t="shared" si="20"/>
        <v>1.016</v>
      </c>
      <c r="G16" s="653">
        <f t="shared" si="21"/>
        <v>1</v>
      </c>
      <c r="H16" s="519"/>
      <c r="I16" s="524">
        <f t="shared" si="22"/>
        <v>1</v>
      </c>
      <c r="J16" s="630"/>
      <c r="K16" s="505">
        <f t="array" ref="K16">SUMPRODUCT($U$22:$U$27*($P$22:$P$27=$D16)*ISNUMBER(MATCH($Q$22:$Q$27,IF($I$14:$I$17=$I16,$D$14:$D$17,""),0)))+SUMPRODUCT($V$22:$V$27*($Q$22:$Q$27=$D16)*ISNUMBER(MATCH($P$22:$P$27,IF($I$14:$I$17=$I16,$D$14:$D$17,""),0)))</f>
        <v>0</v>
      </c>
      <c r="L16" s="504">
        <f>COUNTIFS($K$14:$K$17,"&gt;"&amp;$K16,$I$14:$I$17,"="&amp;$I16)</f>
        <v>0</v>
      </c>
      <c r="M16" s="520">
        <f t="shared" si="10"/>
        <v>1</v>
      </c>
      <c r="N16" s="519"/>
      <c r="O16" s="505">
        <f t="array" ref="O16">SUMPRODUCT($W$22:$W$27*($P$22:$P$27=$D16)*ISNUMBER(MATCH($Q$22:$Q$27,IF($I$14:$I$17=$I16,$D$14:$D$17,""),0)))+SUMPRODUCT(-$W$22:$W$27*($Q$22:$Q$27=$D16)*ISNUMBER(MATCH($P$22:$P$27,IF($I$14:$I$17=$I16,$D$14:$D$17,""),0)))</f>
        <v>0</v>
      </c>
      <c r="P16" s="504">
        <f>COUNTIFS($O$14:$O$17,"&gt;"&amp;$O16,$M$14:$M$17,"="&amp;$M16)</f>
        <v>0</v>
      </c>
      <c r="Q16" s="520">
        <f t="shared" si="11"/>
        <v>1</v>
      </c>
      <c r="R16" s="519"/>
      <c r="S16" s="505">
        <f t="array" ref="S16">SUMPRODUCT($X$22:$X$27*($P$22:$P$27=$D16)*ISNUMBER(MATCH($Q$22:$Q$27,IF($I$14:$I$17=$I16,$D$14:$D$17,""),0)))+SUMPRODUCT($Y$22:$Y$27*($Q$22:$Q$27=$D16)*ISNUMBER(MATCH($P$22:$P$27,IF($I$14:$I$17=$I16,$D$14:$D$17,""),0)))</f>
        <v>0</v>
      </c>
      <c r="T16" s="504">
        <f>COUNTIFS($S$14:$S$17,"&gt;"&amp;$S16,$Q$14:$Q$17,"="&amp;$Q16)</f>
        <v>0</v>
      </c>
      <c r="U16" s="520">
        <f t="shared" si="12"/>
        <v>1</v>
      </c>
      <c r="V16" s="630"/>
      <c r="W16" s="505">
        <f t="array" ref="W16">SUMPRODUCT($U$22:$U$27*($P$22:$P$27=$D16)*ISNUMBER(MATCH($Q$22:$Q$27,IF($U$14:$U$17=$U16,$D$14:$D$17,""),0)))+SUMPRODUCT($V$22:$V$27*($Q$22:$Q$27=$D16)*ISNUMBER(MATCH($P$22:$P$27,IF($U$14:$U$17=$U16,$D$14:$D$17,""),0)))</f>
        <v>0</v>
      </c>
      <c r="X16" s="504">
        <f>COUNTIFS($W$14:$W$17,"&gt;"&amp;$W16,$U$14:$U$17,"="&amp;$U16)</f>
        <v>0</v>
      </c>
      <c r="Y16" s="520">
        <f t="shared" si="13"/>
        <v>1</v>
      </c>
      <c r="Z16" s="519"/>
      <c r="AA16" s="505">
        <f t="array" ref="AA16">SUMPRODUCT($W$22:$W$27*($P$22:$P$27=$D16)*ISNUMBER(MATCH($Q$22:$Q$27,IF($U$14:$U$17=$U16,$D$14:$D$17,""),0)))+SUMPRODUCT(-$W$22:$W$27*($Q$22:$Q$27=$D16)*ISNUMBER(MATCH($P$22:$P$27,IF($U$14:$U$17=$U16,$D$14:$D$17,""),0)))</f>
        <v>0</v>
      </c>
      <c r="AB16" s="504">
        <f>COUNTIFS($AA$14:$AA$17,"&gt;"&amp;$AA16,$Y$14:$Y$17,"="&amp;$Y16)</f>
        <v>0</v>
      </c>
      <c r="AC16" s="520">
        <f t="shared" si="14"/>
        <v>1</v>
      </c>
      <c r="AD16" s="519"/>
      <c r="AE16" s="505">
        <f t="array" ref="AE16">SUMPRODUCT($X$22:$X$27*($P$22:$P$27=$D16)*ISNUMBER(MATCH($Q$22:$Q$27,IF($U$14:$U$17=$U16,$D$14:$D$17,""),0)))+SUMPRODUCT($Y$22:$Y$27*($Q$22:$Q$27=$D16)*ISNUMBER(MATCH($P$22:$P$27,IF($U$14:$U$17=$U16,$D$14:$D$17,""),0)))</f>
        <v>0</v>
      </c>
      <c r="AF16" s="504">
        <f>COUNTIFS($AE$14:$AE$17,"&gt;"&amp;$AE16,$AC$14:$AC$17,"="&amp;$AC16)</f>
        <v>0</v>
      </c>
      <c r="AG16" s="520">
        <f t="shared" si="15"/>
        <v>1</v>
      </c>
      <c r="AH16" s="630"/>
      <c r="AI16" s="526">
        <f>COUNTIFS($J$5:$J$8,"&gt;"&amp;$J7,$AG$14:$AG$17,"="&amp;$AG16)</f>
        <v>0</v>
      </c>
      <c r="AJ16" s="520">
        <f t="shared" si="23"/>
        <v>1</v>
      </c>
      <c r="AK16" s="519"/>
      <c r="AL16" s="526">
        <f>COUNTIFS($H$5:$H$8,"&gt;"&amp;$H7,$AJ$14:$AJ$17,"="&amp;$AJ16)</f>
        <v>0</v>
      </c>
      <c r="AM16" s="520">
        <f t="shared" si="24"/>
        <v>1</v>
      </c>
      <c r="AN16" s="519"/>
      <c r="AO16" s="526">
        <f>COUNTIFS($P$5:$P$8,"&gt;"&amp;$P7,$AM$14:$AM$17,"="&amp;$AM16)</f>
        <v>0</v>
      </c>
      <c r="AP16" s="520">
        <f t="shared" si="16"/>
        <v>1</v>
      </c>
      <c r="AQ16" s="519"/>
      <c r="AR16" s="526">
        <f t="shared" si="25"/>
        <v>0</v>
      </c>
      <c r="AS16" s="520">
        <f t="shared" si="17"/>
        <v>1</v>
      </c>
      <c r="AT16" s="519"/>
      <c r="AV16" s="553" t="b">
        <f t="shared" si="26"/>
        <v>0</v>
      </c>
      <c r="AX16" s="526"/>
      <c r="AY16" s="553">
        <f t="shared" si="27"/>
        <v>3</v>
      </c>
      <c r="AZ16" s="541" t="str">
        <v>Ghana</v>
      </c>
      <c r="BA16" s="526">
        <v>0</v>
      </c>
      <c r="BB16" s="526">
        <v>0</v>
      </c>
      <c r="BC16" s="546">
        <v>0</v>
      </c>
      <c r="BE16" s="551" t="str">
        <v/>
      </c>
      <c r="BF16" s="553" t="str">
        <v/>
      </c>
      <c r="BG16" s="552" t="str">
        <v/>
      </c>
      <c r="BH16" s="554" t="str">
        <v/>
      </c>
      <c r="BI16" s="553"/>
      <c r="BJ16" s="553"/>
      <c r="BK16" s="523">
        <v>1</v>
      </c>
      <c r="BL16" s="526"/>
      <c r="BN16" s="541" t="str">
        <v/>
      </c>
      <c r="BO16" s="526" t="str">
        <v/>
      </c>
      <c r="BP16" s="526" t="str">
        <v/>
      </c>
      <c r="BQ16" s="546" t="str">
        <v/>
      </c>
      <c r="BS16" s="551" t="str">
        <v/>
      </c>
      <c r="BT16" s="553" t="str">
        <v/>
      </c>
      <c r="BU16" s="552" t="str">
        <v/>
      </c>
      <c r="BV16" s="554" t="str">
        <v/>
      </c>
      <c r="BZ16" s="541" t="str">
        <v/>
      </c>
      <c r="CA16" s="526" t="str">
        <v/>
      </c>
      <c r="CB16" s="526" t="str">
        <v/>
      </c>
      <c r="CC16" s="546" t="str">
        <v/>
      </c>
      <c r="CE16" s="551" t="str">
        <v/>
      </c>
      <c r="CF16" s="553" t="str">
        <v/>
      </c>
      <c r="CG16" s="552" t="str">
        <v/>
      </c>
      <c r="CH16" s="554" t="str">
        <v/>
      </c>
    </row>
    <row r="17" spans="2:86" s="528" customFormat="1" ht="12.75" thickBot="1" x14ac:dyDescent="0.3">
      <c r="B17" s="529"/>
      <c r="C17" s="535">
        <v>4</v>
      </c>
      <c r="D17" s="526" t="str">
        <f t="shared" si="18"/>
        <v>Panama</v>
      </c>
      <c r="E17" s="525">
        <f t="shared" si="19"/>
        <v>4</v>
      </c>
      <c r="F17" s="515">
        <f t="shared" si="20"/>
        <v>1.0169999999999999</v>
      </c>
      <c r="G17" s="653">
        <f t="shared" si="21"/>
        <v>1</v>
      </c>
      <c r="H17" s="519"/>
      <c r="I17" s="524">
        <f t="shared" si="22"/>
        <v>1</v>
      </c>
      <c r="J17" s="630"/>
      <c r="K17" s="505">
        <f t="array" ref="K17">SUMPRODUCT($U$22:$U$27*($P$22:$P$27=$D17)*ISNUMBER(MATCH($Q$22:$Q$27,IF($I$14:$I$17=$I17,$D$14:$D$17,""),0)))+SUMPRODUCT($V$22:$V$27*($Q$22:$Q$27=$D17)*ISNUMBER(MATCH($P$22:$P$27,IF($I$14:$I$17=$I17,$D$14:$D$17,""),0)))</f>
        <v>0</v>
      </c>
      <c r="L17" s="504">
        <f>COUNTIFS($K$14:$K$17,"&gt;"&amp;$K17,$I$14:$I$17,"="&amp;$I17)</f>
        <v>0</v>
      </c>
      <c r="M17" s="520">
        <f t="shared" si="10"/>
        <v>1</v>
      </c>
      <c r="N17" s="519"/>
      <c r="O17" s="505">
        <f t="array" ref="O17">SUMPRODUCT($W$22:$W$27*($P$22:$P$27=$D17)*ISNUMBER(MATCH($Q$22:$Q$27,IF($I$14:$I$17=$I17,$D$14:$D$17,""),0)))+SUMPRODUCT(-$W$22:$W$27*($Q$22:$Q$27=$D17)*ISNUMBER(MATCH($P$22:$P$27,IF($I$14:$I$17=$I17,$D$14:$D$17,""),0)))</f>
        <v>0</v>
      </c>
      <c r="P17" s="504">
        <f>COUNTIFS($O$14:$O$17,"&gt;"&amp;$O17,$M$14:$M$17,"="&amp;$M17)</f>
        <v>0</v>
      </c>
      <c r="Q17" s="520">
        <f t="shared" si="11"/>
        <v>1</v>
      </c>
      <c r="R17" s="519"/>
      <c r="S17" s="505">
        <f t="array" ref="S17">SUMPRODUCT($X$22:$X$27*($P$22:$P$27=$D17)*ISNUMBER(MATCH($Q$22:$Q$27,IF($I$14:$I$17=$I17,$D$14:$D$17,""),0)))+SUMPRODUCT($Y$22:$Y$27*($Q$22:$Q$27=$D17)*ISNUMBER(MATCH($P$22:$P$27,IF($I$14:$I$17=$I17,$D$14:$D$17,""),0)))</f>
        <v>0</v>
      </c>
      <c r="T17" s="504">
        <f>COUNTIFS($S$14:$S$17,"&gt;"&amp;$S17,$Q$14:$Q$17,"="&amp;$Q17)</f>
        <v>0</v>
      </c>
      <c r="U17" s="520">
        <f t="shared" si="12"/>
        <v>1</v>
      </c>
      <c r="V17" s="630"/>
      <c r="W17" s="505">
        <f t="array" ref="W17">SUMPRODUCT($U$22:$U$27*($P$22:$P$27=$D17)*ISNUMBER(MATCH($Q$22:$Q$27,IF($U$14:$U$17=$U17,$D$14:$D$17,""),0)))+SUMPRODUCT($V$22:$V$27*($Q$22:$Q$27=$D17)*ISNUMBER(MATCH($P$22:$P$27,IF($U$14:$U$17=$U17,$D$14:$D$17,""),0)))</f>
        <v>0</v>
      </c>
      <c r="X17" s="504">
        <f>COUNTIFS($W$14:$W$17,"&gt;"&amp;$W17,$U$14:$U$17,"="&amp;$U17)</f>
        <v>0</v>
      </c>
      <c r="Y17" s="520">
        <f t="shared" si="13"/>
        <v>1</v>
      </c>
      <c r="Z17" s="519"/>
      <c r="AA17" s="505">
        <f t="array" ref="AA17">SUMPRODUCT($W$22:$W$27*($P$22:$P$27=$D17)*ISNUMBER(MATCH($Q$22:$Q$27,IF($U$14:$U$17=$U17,$D$14:$D$17,""),0)))+SUMPRODUCT(-$W$22:$W$27*($Q$22:$Q$27=$D17)*ISNUMBER(MATCH($P$22:$P$27,IF($U$14:$U$17=$U17,$D$14:$D$17,""),0)))</f>
        <v>0</v>
      </c>
      <c r="AB17" s="504">
        <f>COUNTIFS($AA$14:$AA$17,"&gt;"&amp;$AA17,$Y$14:$Y$17,"="&amp;$Y17)</f>
        <v>0</v>
      </c>
      <c r="AC17" s="520">
        <f t="shared" si="14"/>
        <v>1</v>
      </c>
      <c r="AD17" s="519"/>
      <c r="AE17" s="505">
        <f t="array" ref="AE17">SUMPRODUCT($X$22:$X$27*($P$22:$P$27=$D17)*ISNUMBER(MATCH($Q$22:$Q$27,IF($U$14:$U$17=$U17,$D$14:$D$17,""),0)))+SUMPRODUCT($Y$22:$Y$27*($Q$22:$Q$27=$D17)*ISNUMBER(MATCH($P$22:$P$27,IF($U$14:$U$17=$U17,$D$14:$D$17,""),0)))</f>
        <v>0</v>
      </c>
      <c r="AF17" s="504">
        <f>COUNTIFS($AE$14:$AE$17,"&gt;"&amp;$AE17,$AC$14:$AC$17,"="&amp;$AC17)</f>
        <v>0</v>
      </c>
      <c r="AG17" s="520">
        <f t="shared" si="15"/>
        <v>1</v>
      </c>
      <c r="AH17" s="630"/>
      <c r="AI17" s="526">
        <f>COUNTIFS($J$5:$J$8,"&gt;"&amp;$J8,$AG$14:$AG$17,"="&amp;$AG17)</f>
        <v>0</v>
      </c>
      <c r="AJ17" s="520">
        <f t="shared" si="23"/>
        <v>1</v>
      </c>
      <c r="AK17" s="519"/>
      <c r="AL17" s="526">
        <f>COUNTIFS($H$5:$H$8,"&gt;"&amp;$H8,$AJ$14:$AJ$17,"="&amp;$AJ17)</f>
        <v>0</v>
      </c>
      <c r="AM17" s="520">
        <f t="shared" si="24"/>
        <v>1</v>
      </c>
      <c r="AN17" s="519"/>
      <c r="AO17" s="526">
        <f>COUNTIFS($P$5:$P$8,"&gt;"&amp;$P8,$AM$14:$AM$17,"="&amp;$AM17)</f>
        <v>0</v>
      </c>
      <c r="AP17" s="520">
        <f t="shared" si="16"/>
        <v>1</v>
      </c>
      <c r="AQ17" s="519"/>
      <c r="AR17" s="526">
        <f t="shared" si="25"/>
        <v>0</v>
      </c>
      <c r="AS17" s="520">
        <f t="shared" si="17"/>
        <v>1</v>
      </c>
      <c r="AT17" s="519"/>
      <c r="AV17" s="553" t="b">
        <f t="shared" si="26"/>
        <v>0</v>
      </c>
      <c r="AX17" s="526"/>
      <c r="AY17" s="553">
        <f t="shared" si="27"/>
        <v>4</v>
      </c>
      <c r="AZ17" s="542" t="str">
        <v>Panama</v>
      </c>
      <c r="BA17" s="544">
        <v>0</v>
      </c>
      <c r="BB17" s="544">
        <v>0</v>
      </c>
      <c r="BC17" s="547">
        <v>0</v>
      </c>
      <c r="BE17" s="555" t="str">
        <v/>
      </c>
      <c r="BF17" s="556" t="str">
        <v/>
      </c>
      <c r="BG17" s="556" t="str">
        <v/>
      </c>
      <c r="BH17" s="557" t="str">
        <v/>
      </c>
      <c r="BI17" s="553"/>
      <c r="BJ17" s="553"/>
      <c r="BK17" s="620">
        <v>1</v>
      </c>
      <c r="BL17" s="526"/>
      <c r="BN17" s="542" t="str">
        <v/>
      </c>
      <c r="BO17" s="544" t="str">
        <v/>
      </c>
      <c r="BP17" s="544" t="str">
        <v/>
      </c>
      <c r="BQ17" s="547" t="str">
        <v/>
      </c>
      <c r="BS17" s="555" t="str">
        <v/>
      </c>
      <c r="BT17" s="556" t="str">
        <v/>
      </c>
      <c r="BU17" s="556" t="str">
        <v/>
      </c>
      <c r="BV17" s="557" t="str">
        <v/>
      </c>
      <c r="BZ17" s="542" t="str">
        <v/>
      </c>
      <c r="CA17" s="544" t="str">
        <v/>
      </c>
      <c r="CB17" s="544" t="str">
        <v/>
      </c>
      <c r="CC17" s="547" t="str">
        <v/>
      </c>
      <c r="CE17" s="555" t="str">
        <v/>
      </c>
      <c r="CF17" s="556" t="str">
        <v/>
      </c>
      <c r="CG17" s="556" t="str">
        <v/>
      </c>
      <c r="CH17" s="557" t="str">
        <v/>
      </c>
    </row>
    <row r="18" spans="2:86" s="528" customFormat="1" ht="12.75" thickTop="1" x14ac:dyDescent="0.25">
      <c r="B18" s="529"/>
      <c r="C18" s="529"/>
      <c r="D18" s="529"/>
      <c r="E18" s="529"/>
      <c r="F18" s="529"/>
      <c r="G18" s="529"/>
      <c r="H18" s="529"/>
      <c r="I18" s="529"/>
      <c r="J18" s="529"/>
      <c r="K18" s="529"/>
      <c r="L18" s="529"/>
      <c r="M18" s="529"/>
      <c r="N18" s="529"/>
      <c r="O18" s="529"/>
      <c r="P18" s="526"/>
      <c r="Q18" s="526"/>
      <c r="R18" s="526"/>
      <c r="S18" s="526"/>
      <c r="T18" s="526"/>
      <c r="U18" s="526"/>
      <c r="V18" s="529"/>
      <c r="W18" s="529"/>
      <c r="X18" s="529"/>
      <c r="Y18" s="529"/>
      <c r="Z18" s="529"/>
      <c r="AA18" s="529"/>
      <c r="AB18" s="529"/>
      <c r="AC18" s="529"/>
      <c r="AD18" s="529"/>
      <c r="AE18" s="529"/>
      <c r="AF18" s="529"/>
      <c r="AG18" s="529"/>
      <c r="AH18" s="529"/>
      <c r="AI18" s="529"/>
      <c r="BI18" s="529"/>
      <c r="BJ18" s="529"/>
      <c r="BK18" s="535"/>
      <c r="BL18" s="535"/>
    </row>
    <row r="19" spans="2:86" s="528" customFormat="1" x14ac:dyDescent="0.25">
      <c r="B19" s="529"/>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529"/>
      <c r="AH19" s="529"/>
      <c r="AI19" s="529"/>
      <c r="BI19" s="529"/>
      <c r="BJ19" s="529"/>
      <c r="BK19" s="535"/>
      <c r="BL19" s="535"/>
    </row>
    <row r="20" spans="2:86" s="502" customFormat="1" x14ac:dyDescent="0.25">
      <c r="D20" s="527"/>
      <c r="E20" s="527"/>
      <c r="F20" s="527"/>
      <c r="G20" s="527"/>
      <c r="H20" s="527"/>
      <c r="O20" s="559"/>
      <c r="R20" s="527"/>
      <c r="S20" s="527"/>
      <c r="T20" s="527"/>
      <c r="W20" s="559"/>
      <c r="Y20" s="559"/>
      <c r="AE20" s="527"/>
      <c r="AF20" s="527"/>
      <c r="AG20" s="527"/>
      <c r="AH20" s="527"/>
      <c r="AI20" s="527"/>
      <c r="AZ20" s="627" t="s">
        <v>1758</v>
      </c>
      <c r="BI20" s="527"/>
      <c r="BJ20" s="527"/>
      <c r="BK20" s="505"/>
      <c r="BL20" s="505"/>
    </row>
    <row r="21" spans="2:86" s="502" customFormat="1" ht="15.75" customHeight="1" thickBot="1" x14ac:dyDescent="0.3">
      <c r="D21" s="560"/>
      <c r="E21" s="511" t="s">
        <v>1080</v>
      </c>
      <c r="F21" s="510" t="s">
        <v>1081</v>
      </c>
      <c r="G21" s="510" t="s">
        <v>1082</v>
      </c>
      <c r="H21" s="561" t="str">
        <f t="array" ref="H21:K21">TRANSPOSE($D$22:$D$25)</f>
        <v>England</v>
      </c>
      <c r="I21" s="562" t="str">
        <v>Kroatien</v>
      </c>
      <c r="J21" s="562" t="str">
        <v>Ghana</v>
      </c>
      <c r="K21" s="563" t="str">
        <v>Panama</v>
      </c>
      <c r="L21" s="503" t="s">
        <v>1764</v>
      </c>
      <c r="M21" s="508" t="s">
        <v>1762</v>
      </c>
      <c r="N21" s="516" t="s">
        <v>1765</v>
      </c>
      <c r="T21" s="559" t="s">
        <v>168</v>
      </c>
      <c r="U21" s="782" t="s">
        <v>1080</v>
      </c>
      <c r="V21" s="782"/>
      <c r="W21" s="606" t="s">
        <v>189</v>
      </c>
      <c r="X21" s="606" t="s">
        <v>1081</v>
      </c>
      <c r="Y21" s="606" t="s">
        <v>1082</v>
      </c>
      <c r="AA21" s="564"/>
      <c r="AE21" s="529"/>
      <c r="AF21" s="528"/>
      <c r="AG21" s="527"/>
      <c r="AH21" s="528"/>
      <c r="AI21" s="528"/>
      <c r="AJ21" s="528"/>
      <c r="AK21" s="528"/>
      <c r="AL21" s="528"/>
      <c r="AM21" s="528"/>
      <c r="AN21" s="529"/>
      <c r="AO21" s="528"/>
      <c r="AX21" s="626" t="s">
        <v>1761</v>
      </c>
      <c r="AY21" s="626" t="s">
        <v>1763</v>
      </c>
      <c r="AZ21" s="528"/>
      <c r="BA21" s="528"/>
      <c r="BB21" s="528"/>
      <c r="BC21" s="528"/>
      <c r="BD21" s="528"/>
      <c r="BE21" s="532" t="str">
        <f t="array" ref="BE21:BH21">TRANSPOSE($AZ$22:$AZ$25)</f>
        <v/>
      </c>
      <c r="BF21" s="533" t="str">
        <v/>
      </c>
      <c r="BG21" s="533" t="str">
        <v/>
      </c>
      <c r="BH21" s="534" t="str">
        <v/>
      </c>
      <c r="BI21" s="529"/>
      <c r="BJ21" s="529"/>
      <c r="BK21" s="526"/>
      <c r="BL21" s="526"/>
      <c r="BM21" s="529"/>
      <c r="BN21" s="529"/>
      <c r="BO21" s="529"/>
      <c r="BP21" s="529"/>
      <c r="BQ21" s="529"/>
      <c r="BR21" s="529"/>
      <c r="BS21" s="529"/>
      <c r="BT21" s="529"/>
      <c r="BU21" s="529"/>
      <c r="BV21" s="529"/>
    </row>
    <row r="22" spans="2:86" s="502" customFormat="1" ht="12.75" thickTop="1" x14ac:dyDescent="0.2">
      <c r="C22" s="504"/>
      <c r="D22" s="565" t="str">
        <f>IF($L$9=0,$D5,INDEX($D$5:$D$8,MATCH($C5,$E$14:$E$17,0)))</f>
        <v>England</v>
      </c>
      <c r="E22" s="636">
        <f>VLOOKUP($D22,$D$5:$K$8,8,0)</f>
        <v>0</v>
      </c>
      <c r="F22" s="567">
        <f>VLOOKUP($D22,$D$5:$K$8,5,0)</f>
        <v>0</v>
      </c>
      <c r="G22" s="637">
        <f>VLOOKUP($D22,$D$5:$K$8,6,0)</f>
        <v>0</v>
      </c>
      <c r="H22" s="566" t="str">
        <f t="array" ref="H22:K25">IFERROR(VLOOKUP($D$22:$D$25&amp;$H$21:$K$21,$Z$22:$AA$33,2,0),"")</f>
        <v/>
      </c>
      <c r="I22" s="567" t="str">
        <v/>
      </c>
      <c r="J22" s="567" t="str">
        <v/>
      </c>
      <c r="K22" s="633" t="str">
        <v/>
      </c>
      <c r="L22" s="621" t="b">
        <f>OR($E22&gt;0,$G22&gt;0)</f>
        <v>0</v>
      </c>
      <c r="M22" s="621" t="b">
        <f t="array" ref="M22:M25">VLOOKUP($D$22:$D$25,$D$14:$AV$17,45,0)</f>
        <v>0</v>
      </c>
      <c r="N22" s="505">
        <f>VLOOKUP($D22,$D$5:$Q$8,14,0)</f>
        <v>4</v>
      </c>
      <c r="O22" s="572" t="s">
        <v>26</v>
      </c>
      <c r="P22" s="608" t="str">
        <f>INDEX('World Cup'!$B$13:$AJ$38,1,1+(CODE($B$1)-65)*3)</f>
        <v>England</v>
      </c>
      <c r="Q22" s="609" t="str">
        <f>INDEX('World Cup'!$B$13:$AJ$38,1,2+(CODE($B$1)-65)*3)</f>
        <v>Kroatien</v>
      </c>
      <c r="R22" s="609" t="str">
        <f>IF(OR(INDEX('World Cup'!$B$14:$AJ$39,1,1+(CODE($B$1)-65)*3)="",INDEX('World Cup'!$B$14:$AJ$39,1,2+(CODE($B$1)-65)*3)=""),"",INDEX('World Cup'!$B$14:$AJ$39,1,1+(CODE($B$1)-65)*3))</f>
        <v/>
      </c>
      <c r="S22" s="610" t="str">
        <f>IF(OR(INDEX('World Cup'!$B$14:$AJ$39,1,1+(CODE($B$1)-65)*3)="",INDEX('World Cup'!$B$14:$AJ$39,1,2+(CODE($B$1)-65)*3)=""),"",INDEX('World Cup'!$B$14:$AJ$39,1,2+(CODE($B$1)-65)*3))</f>
        <v/>
      </c>
      <c r="T22" s="574">
        <f t="shared" ref="T22:T25" si="28">IF(AND(P22&lt;&gt;"",Q22&lt;&gt;"",P22&lt;&gt;Q22,R22&lt;&gt;"",S22&lt;&gt;""),1,0)</f>
        <v>0</v>
      </c>
      <c r="U22" s="575">
        <f t="shared" ref="U22:U25" si="29">IF($T22=0,0,IF($R22&gt;$S22,3,IF($R22=$S22,1,0)))</f>
        <v>0</v>
      </c>
      <c r="V22" s="576">
        <f t="shared" ref="V22:V25" si="30">IF($T22=0,0,IF($R22&lt;$S22,3,IF($R22=$S22,1,0)))</f>
        <v>0</v>
      </c>
      <c r="W22" s="577">
        <f t="shared" ref="W22:W25" si="31">IF(OR(R22="",S22=""),0,R22-S22)</f>
        <v>0</v>
      </c>
      <c r="X22" s="578">
        <f t="shared" ref="X22:X25" si="32">IF(OR(R22="",S22=""),0,R22)</f>
        <v>0</v>
      </c>
      <c r="Y22" s="579">
        <f t="shared" ref="Y22:Y25" si="33">IF(OR(R22="",S22=""),0,S22)</f>
        <v>0</v>
      </c>
      <c r="Z22" s="580" t="str">
        <f t="shared" ref="Z22:Z25" si="34">P22&amp;Q22</f>
        <v>EnglandKroatien</v>
      </c>
      <c r="AA22" s="581" t="str">
        <f>IF($T22,$X22&amp;Sprache!$E$197&amp;$Y22,"")</f>
        <v/>
      </c>
      <c r="AB22" s="621"/>
      <c r="AC22" s="621"/>
      <c r="AD22" s="621"/>
      <c r="AE22" s="505"/>
      <c r="AF22" s="665"/>
      <c r="AG22" s="623"/>
      <c r="AH22" s="623"/>
      <c r="AI22" s="622"/>
      <c r="AJ22" s="526"/>
      <c r="AK22" s="582"/>
      <c r="AL22" s="526"/>
      <c r="AN22" s="526"/>
      <c r="AO22" s="526"/>
      <c r="AX22" s="628" t="str">
        <f t="array" ref="AX22">IFERROR(SMALL(IF(COUNTIF($I$14:$I$17,$C$14:$C$17)&gt;1,$C$14:$C$17,""),2),"")</f>
        <v/>
      </c>
      <c r="AY22" s="553">
        <f>IFERROR(INDEX($E$14:$E$17,IF($I14=$AX$22,$C14,99)),0)</f>
        <v>0</v>
      </c>
      <c r="AZ22" s="540" t="str">
        <f t="array" ref="AZ22:AZ25">IFERROR(VLOOKUP($BB$5:$BB$8,$C$14:$D$17,2,0),"")</f>
        <v/>
      </c>
      <c r="BA22" s="543" t="str">
        <f t="array" ref="BA22:BA25">IFERROR(VLOOKUP($BB$5:$BB$8,$C$14:$K$17,9,0),"")</f>
        <v/>
      </c>
      <c r="BB22" s="543" t="str">
        <f t="array" ref="BB22:BB25">IFERROR(VLOOKUP($BB$5:$BB$8,$C$14:$O$17,13,0),"")</f>
        <v/>
      </c>
      <c r="BC22" s="545" t="str">
        <f t="array" ref="BC22:BC25">IFERROR(VLOOKUP($BB$5:$BB$8,$C$14:$S$17,17,0),"")</f>
        <v/>
      </c>
      <c r="BD22" s="528"/>
      <c r="BE22" s="548" t="str">
        <f t="array" ref="BE22:BH25">IFERROR(VLOOKUP($AZ$22:$AZ$25&amp;$BE$21:$BH$21,$Z$22:$AA$33,2,0),"")</f>
        <v/>
      </c>
      <c r="BF22" s="549" t="str">
        <v/>
      </c>
      <c r="BG22" s="549" t="str">
        <v/>
      </c>
      <c r="BH22" s="550" t="str">
        <v/>
      </c>
      <c r="BI22" s="553"/>
      <c r="BJ22" s="553"/>
      <c r="BK22" s="504"/>
      <c r="BL22" s="526"/>
      <c r="BM22" s="529"/>
      <c r="BN22" s="529"/>
      <c r="BO22" s="526"/>
      <c r="BP22" s="526"/>
      <c r="BQ22" s="526"/>
      <c r="BR22" s="529"/>
      <c r="BS22" s="553"/>
      <c r="BT22" s="553"/>
      <c r="BU22" s="553"/>
      <c r="BV22" s="553"/>
    </row>
    <row r="23" spans="2:86" s="502" customFormat="1" x14ac:dyDescent="0.2">
      <c r="C23" s="504"/>
      <c r="D23" s="583" t="str">
        <f t="shared" ref="D23:D25" si="35">IF($L$9=0,$D6,INDEX($D$5:$D$8,MATCH($C6,$E$14:$E$17,0)))</f>
        <v>Kroatien</v>
      </c>
      <c r="E23" s="631">
        <f t="shared" ref="E23:E25" si="36">VLOOKUP($D23,$D$5:$K$8,8,0)</f>
        <v>0</v>
      </c>
      <c r="F23" s="504">
        <f t="shared" ref="F23:F25" si="37">VLOOKUP($D23,$D$5:$K$8,5,0)</f>
        <v>0</v>
      </c>
      <c r="G23" s="638">
        <f t="shared" ref="G23:G25" si="38">VLOOKUP($D23,$D$5:$K$8,6,0)</f>
        <v>0</v>
      </c>
      <c r="H23" s="568" t="str">
        <v/>
      </c>
      <c r="I23" s="569" t="str">
        <v/>
      </c>
      <c r="J23" s="504" t="str">
        <v/>
      </c>
      <c r="K23" s="634" t="str">
        <v/>
      </c>
      <c r="L23" s="621" t="b">
        <f t="shared" ref="L23:L25" si="39">OR($E23&gt;0,$G23&gt;0)</f>
        <v>0</v>
      </c>
      <c r="M23" s="621" t="b">
        <v>0</v>
      </c>
      <c r="N23" s="505">
        <f t="shared" ref="N23:N25" si="40">VLOOKUP($D23,$D$5:$Q$8,14,0)</f>
        <v>11</v>
      </c>
      <c r="O23" s="584" t="s">
        <v>27</v>
      </c>
      <c r="P23" s="611" t="str">
        <f>INDEX('World Cup'!$B$13:$AJ$38,6,1+(CODE($B$1)-65)*3)</f>
        <v>Ghana</v>
      </c>
      <c r="Q23" s="612" t="str">
        <f>INDEX('World Cup'!$B$13:$AJ$38,6,2+(CODE($B$1)-65)*3)</f>
        <v>Panama</v>
      </c>
      <c r="R23" s="612" t="str">
        <f>IF(OR(INDEX('World Cup'!$B$14:$AJ$39,6,1+(CODE($B$1)-65)*3)="",INDEX('World Cup'!$B$14:$AJ$39,6,2+(CODE($B$1)-65)*3)=""),"",INDEX('World Cup'!$B$14:$AJ$39,6,1+(CODE($B$1)-65)*3))</f>
        <v/>
      </c>
      <c r="S23" s="613" t="str">
        <f>IF(OR(INDEX('World Cup'!$B$14:$AJ$39,6,1+(CODE($B$1)-65)*3)="",INDEX('World Cup'!$B$14:$AJ$39,6,2+(CODE($B$1)-65)*3)=""),"",INDEX('World Cup'!$B$14:$AJ$39,6,2+(CODE($B$1)-65)*3))</f>
        <v/>
      </c>
      <c r="T23" s="504">
        <f t="shared" si="28"/>
        <v>0</v>
      </c>
      <c r="U23" s="586">
        <f t="shared" si="29"/>
        <v>0</v>
      </c>
      <c r="V23" s="504">
        <f t="shared" si="30"/>
        <v>0</v>
      </c>
      <c r="W23" s="587">
        <f t="shared" si="31"/>
        <v>0</v>
      </c>
      <c r="X23" s="588">
        <f t="shared" si="32"/>
        <v>0</v>
      </c>
      <c r="Y23" s="589">
        <f t="shared" si="33"/>
        <v>0</v>
      </c>
      <c r="Z23" s="590" t="str">
        <f t="shared" si="34"/>
        <v>GhanaPanama</v>
      </c>
      <c r="AA23" s="591" t="str">
        <f>IF($T23,$X23&amp;Sprache!$E$197&amp;$Y23,"")</f>
        <v/>
      </c>
      <c r="AB23" s="621"/>
      <c r="AC23" s="621"/>
      <c r="AD23" s="621"/>
      <c r="AE23" s="505"/>
      <c r="AF23" s="665"/>
      <c r="AG23" s="623"/>
      <c r="AH23" s="623"/>
      <c r="AI23" s="623"/>
      <c r="AJ23" s="526"/>
      <c r="AK23" s="582"/>
      <c r="AL23" s="526"/>
      <c r="AN23" s="526"/>
      <c r="AO23" s="526"/>
      <c r="AY23" s="553">
        <f t="shared" ref="AY23:AY25" si="41">IFERROR(INDEX($E$14:$E$17,IF($I15=$AX$22,$C15,99)),0)</f>
        <v>0</v>
      </c>
      <c r="AZ23" s="541" t="str">
        <v/>
      </c>
      <c r="BA23" s="526" t="str">
        <v/>
      </c>
      <c r="BB23" s="526" t="str">
        <v/>
      </c>
      <c r="BC23" s="546" t="str">
        <v/>
      </c>
      <c r="BD23" s="528"/>
      <c r="BE23" s="551" t="str">
        <v/>
      </c>
      <c r="BF23" s="552" t="str">
        <v/>
      </c>
      <c r="BG23" s="553" t="str">
        <v/>
      </c>
      <c r="BH23" s="554" t="str">
        <v/>
      </c>
      <c r="BI23" s="553"/>
      <c r="BJ23" s="553"/>
      <c r="BK23" s="504"/>
      <c r="BL23" s="526"/>
      <c r="BM23" s="529"/>
      <c r="BN23" s="529"/>
      <c r="BO23" s="526"/>
      <c r="BP23" s="526"/>
      <c r="BQ23" s="526"/>
      <c r="BR23" s="529"/>
      <c r="BS23" s="553"/>
      <c r="BT23" s="553"/>
      <c r="BU23" s="553"/>
      <c r="BV23" s="553"/>
    </row>
    <row r="24" spans="2:86" s="502" customFormat="1" x14ac:dyDescent="0.2">
      <c r="C24" s="504"/>
      <c r="D24" s="583" t="str">
        <f t="shared" si="35"/>
        <v>Ghana</v>
      </c>
      <c r="E24" s="631">
        <f t="shared" si="36"/>
        <v>0</v>
      </c>
      <c r="F24" s="504">
        <f t="shared" si="37"/>
        <v>0</v>
      </c>
      <c r="G24" s="638">
        <f t="shared" si="38"/>
        <v>0</v>
      </c>
      <c r="H24" s="568" t="str">
        <v/>
      </c>
      <c r="I24" s="504" t="str">
        <v/>
      </c>
      <c r="J24" s="569" t="str">
        <v/>
      </c>
      <c r="K24" s="634" t="str">
        <v/>
      </c>
      <c r="L24" s="621" t="b">
        <f t="shared" si="39"/>
        <v>0</v>
      </c>
      <c r="M24" s="621" t="b">
        <v>0</v>
      </c>
      <c r="N24" s="505">
        <f t="shared" si="40"/>
        <v>74</v>
      </c>
      <c r="O24" s="584" t="s">
        <v>28</v>
      </c>
      <c r="P24" s="611" t="str">
        <f>INDEX('World Cup'!$B$13:$AJ$38,11,1+(CODE($B$1)-65)*3)</f>
        <v>England</v>
      </c>
      <c r="Q24" s="612" t="str">
        <f>INDEX('World Cup'!$B$13:$AJ$38,11,2+(CODE($B$1)-65)*3)</f>
        <v>Ghana</v>
      </c>
      <c r="R24" s="612" t="str">
        <f>IF(OR(INDEX('World Cup'!$B$14:$AJ$39,11,1+(CODE($B$1)-65)*3)="",INDEX('World Cup'!$B$14:$AJ$39,11,2+(CODE($B$1)-65)*3)=""),"",INDEX('World Cup'!$B$14:$AJ$39,11,1+(CODE($B$1)-65)*3))</f>
        <v/>
      </c>
      <c r="S24" s="613" t="str">
        <f>IF(OR(INDEX('World Cup'!$B$14:$AJ$39,11,1+(CODE($B$1)-65)*3)="",INDEX('World Cup'!$B$14:$AJ$39,11,2+(CODE($B$1)-65)*3)=""),"",INDEX('World Cup'!$B$14:$AJ$39,11,2+(CODE($B$1)-65)*3))</f>
        <v/>
      </c>
      <c r="T24" s="504">
        <f t="shared" si="28"/>
        <v>0</v>
      </c>
      <c r="U24" s="586">
        <f t="shared" si="29"/>
        <v>0</v>
      </c>
      <c r="V24" s="504">
        <f t="shared" si="30"/>
        <v>0</v>
      </c>
      <c r="W24" s="587">
        <f t="shared" si="31"/>
        <v>0</v>
      </c>
      <c r="X24" s="588">
        <f t="shared" si="32"/>
        <v>0</v>
      </c>
      <c r="Y24" s="589">
        <f t="shared" si="33"/>
        <v>0</v>
      </c>
      <c r="Z24" s="590" t="str">
        <f t="shared" si="34"/>
        <v>EnglandGhana</v>
      </c>
      <c r="AA24" s="591" t="str">
        <f>IF($T24,$X24&amp;Sprache!$E$197&amp;$Y24,"")</f>
        <v/>
      </c>
      <c r="AB24" s="621"/>
      <c r="AC24" s="621"/>
      <c r="AD24" s="621"/>
      <c r="AE24" s="505"/>
      <c r="AF24" s="665"/>
      <c r="AG24" s="623"/>
      <c r="AH24" s="623"/>
      <c r="AI24" s="623"/>
      <c r="AJ24" s="526"/>
      <c r="AK24" s="582"/>
      <c r="AL24" s="526"/>
      <c r="AN24" s="526"/>
      <c r="AO24" s="526"/>
      <c r="AY24" s="553">
        <f t="shared" si="41"/>
        <v>0</v>
      </c>
      <c r="AZ24" s="541" t="str">
        <v/>
      </c>
      <c r="BA24" s="526" t="str">
        <v/>
      </c>
      <c r="BB24" s="526" t="str">
        <v/>
      </c>
      <c r="BC24" s="546" t="str">
        <v/>
      </c>
      <c r="BD24" s="528"/>
      <c r="BE24" s="551" t="str">
        <v/>
      </c>
      <c r="BF24" s="553" t="str">
        <v/>
      </c>
      <c r="BG24" s="552" t="str">
        <v/>
      </c>
      <c r="BH24" s="554" t="str">
        <v/>
      </c>
      <c r="BI24" s="553"/>
      <c r="BJ24" s="553"/>
      <c r="BK24" s="504"/>
      <c r="BL24" s="526"/>
      <c r="BM24" s="529"/>
      <c r="BN24" s="529"/>
      <c r="BO24" s="526"/>
      <c r="BP24" s="526"/>
      <c r="BQ24" s="526"/>
      <c r="BR24" s="529"/>
      <c r="BS24" s="553"/>
      <c r="BT24" s="553"/>
      <c r="BU24" s="553"/>
      <c r="BV24" s="553"/>
    </row>
    <row r="25" spans="2:86" s="502" customFormat="1" x14ac:dyDescent="0.25">
      <c r="C25" s="504"/>
      <c r="D25" s="592" t="str">
        <f t="shared" si="35"/>
        <v>Panama</v>
      </c>
      <c r="E25" s="639">
        <f t="shared" si="36"/>
        <v>0</v>
      </c>
      <c r="F25" s="571">
        <f t="shared" si="37"/>
        <v>0</v>
      </c>
      <c r="G25" s="640">
        <f t="shared" si="38"/>
        <v>0</v>
      </c>
      <c r="H25" s="570" t="str">
        <v/>
      </c>
      <c r="I25" s="571" t="str">
        <v/>
      </c>
      <c r="J25" s="571" t="str">
        <v/>
      </c>
      <c r="K25" s="635" t="str">
        <v/>
      </c>
      <c r="L25" s="621" t="b">
        <f t="shared" si="39"/>
        <v>0</v>
      </c>
      <c r="M25" s="621" t="b">
        <v>0</v>
      </c>
      <c r="N25" s="505">
        <f t="shared" si="40"/>
        <v>33</v>
      </c>
      <c r="O25" s="584" t="s">
        <v>29</v>
      </c>
      <c r="P25" s="611" t="str">
        <f>INDEX('World Cup'!$B$13:$AJ$38,16,1+(CODE($B$1)-65)*3)</f>
        <v>Panama</v>
      </c>
      <c r="Q25" s="612" t="str">
        <f>INDEX('World Cup'!$B$13:$AJ$38,16,2+(CODE($B$1)-65)*3)</f>
        <v>Kroatien</v>
      </c>
      <c r="R25" s="612" t="str">
        <f>IF(OR(INDEX('World Cup'!$B$14:$AJ$39,16,1+(CODE($B$1)-65)*3)="",INDEX('World Cup'!$B$14:$AJ$39,16,2+(CODE($B$1)-65)*3)=""),"",INDEX('World Cup'!$B$14:$AJ$39,16,1+(CODE($B$1)-65)*3))</f>
        <v/>
      </c>
      <c r="S25" s="613" t="str">
        <f>IF(OR(INDEX('World Cup'!$B$14:$AJ$39,16,1+(CODE($B$1)-65)*3)="",INDEX('World Cup'!$B$14:$AJ$39,16,2+(CODE($B$1)-65)*3)=""),"",INDEX('World Cup'!$B$14:$AJ$39,16,2+(CODE($B$1)-65)*3))</f>
        <v/>
      </c>
      <c r="T25" s="504">
        <f t="shared" si="28"/>
        <v>0</v>
      </c>
      <c r="U25" s="586">
        <f t="shared" si="29"/>
        <v>0</v>
      </c>
      <c r="V25" s="504">
        <f t="shared" si="30"/>
        <v>0</v>
      </c>
      <c r="W25" s="587">
        <f t="shared" si="31"/>
        <v>0</v>
      </c>
      <c r="X25" s="588">
        <f t="shared" si="32"/>
        <v>0</v>
      </c>
      <c r="Y25" s="589">
        <f t="shared" si="33"/>
        <v>0</v>
      </c>
      <c r="Z25" s="590" t="str">
        <f t="shared" si="34"/>
        <v>PanamaKroatien</v>
      </c>
      <c r="AA25" s="591" t="str">
        <f>IF($T25,$X25&amp;Sprache!$E$197&amp;$Y25,"")</f>
        <v/>
      </c>
      <c r="AB25" s="621"/>
      <c r="AC25" s="621"/>
      <c r="AD25" s="621"/>
      <c r="AE25" s="505"/>
      <c r="AF25" s="665"/>
      <c r="AG25" s="623"/>
      <c r="AH25" s="623"/>
      <c r="AI25" s="623"/>
      <c r="AJ25" s="526"/>
      <c r="AK25" s="582"/>
      <c r="AL25" s="526"/>
      <c r="AN25" s="526"/>
      <c r="AO25" s="526"/>
      <c r="AY25" s="553">
        <f t="shared" si="41"/>
        <v>0</v>
      </c>
      <c r="AZ25" s="542" t="str">
        <v/>
      </c>
      <c r="BA25" s="544" t="str">
        <v/>
      </c>
      <c r="BB25" s="544" t="str">
        <v/>
      </c>
      <c r="BC25" s="547" t="str">
        <v/>
      </c>
      <c r="BD25" s="528"/>
      <c r="BE25" s="555" t="str">
        <v/>
      </c>
      <c r="BF25" s="556" t="str">
        <v/>
      </c>
      <c r="BG25" s="556" t="str">
        <v/>
      </c>
      <c r="BH25" s="557" t="str">
        <v/>
      </c>
      <c r="BI25" s="553"/>
      <c r="BJ25" s="553"/>
      <c r="BK25" s="504"/>
      <c r="BL25" s="526"/>
      <c r="BM25" s="529"/>
      <c r="BN25" s="529"/>
      <c r="BO25" s="529"/>
      <c r="BP25" s="529"/>
      <c r="BQ25" s="529"/>
      <c r="BR25" s="529"/>
      <c r="BS25" s="553"/>
      <c r="BT25" s="553"/>
      <c r="BU25" s="553"/>
      <c r="BV25" s="553"/>
    </row>
    <row r="26" spans="2:86" s="502" customFormat="1" x14ac:dyDescent="0.25">
      <c r="C26" s="504"/>
      <c r="D26" s="593"/>
      <c r="E26" s="593"/>
      <c r="F26" s="504"/>
      <c r="G26" s="504"/>
      <c r="H26" s="559"/>
      <c r="O26" s="584" t="s">
        <v>1084</v>
      </c>
      <c r="P26" s="611" t="str">
        <f>INDEX('World Cup'!$B$13:$AJ$38,21,1+(CODE($B$1)-65)*3)</f>
        <v>Panama</v>
      </c>
      <c r="Q26" s="612" t="str">
        <f>INDEX('World Cup'!$B$13:$AJ$38,21,2+(CODE($B$1)-65)*3)</f>
        <v>England</v>
      </c>
      <c r="R26" s="612" t="str">
        <f>IF(OR(INDEX('World Cup'!$B$14:$AJ$39,21,1+(CODE($B$1)-65)*3)="",INDEX('World Cup'!$B$14:$AJ$39,21,2+(CODE($B$1)-65)*3)=""),"",INDEX('World Cup'!$B$14:$AJ$39,21,1+(CODE($B$1)-65)*3))</f>
        <v/>
      </c>
      <c r="S26" s="613" t="str">
        <f>IF(OR(INDEX('World Cup'!$B$14:$AJ$39,21,1+(CODE($B$1)-65)*3)="",INDEX('World Cup'!$B$14:$AJ$39,21,2+(CODE($B$1)-65)*3)=""),"",INDEX('World Cup'!$B$14:$AJ$39,21,2+(CODE($B$1)-65)*3))</f>
        <v/>
      </c>
      <c r="T26" s="504">
        <f t="shared" ref="T26:T27" si="42">IF(AND(P26&lt;&gt;"",Q26&lt;&gt;"",P26&lt;&gt;Q26,R26&lt;&gt;"",S26&lt;&gt;""),1,0)</f>
        <v>0</v>
      </c>
      <c r="U26" s="586">
        <f t="shared" ref="U26:U27" si="43">IF($T26=0,0,IF($R26&gt;$S26,3,IF($R26=$S26,1,0)))</f>
        <v>0</v>
      </c>
      <c r="V26" s="504">
        <f t="shared" ref="V26:V27" si="44">IF($T26=0,0,IF($R26&lt;$S26,3,IF($R26=$S26,1,0)))</f>
        <v>0</v>
      </c>
      <c r="W26" s="587">
        <f t="shared" ref="W26:W27" si="45">IF(OR(R26="",S26=""),0,R26-S26)</f>
        <v>0</v>
      </c>
      <c r="X26" s="588">
        <f t="shared" ref="X26:X27" si="46">IF(OR(R26="",S26=""),0,R26)</f>
        <v>0</v>
      </c>
      <c r="Y26" s="589">
        <f t="shared" ref="Y26:Y27" si="47">IF(OR(R26="",S26=""),0,S26)</f>
        <v>0</v>
      </c>
      <c r="Z26" s="590" t="str">
        <f t="shared" ref="Z26:Z27" si="48">P26&amp;Q26</f>
        <v>PanamaEngland</v>
      </c>
      <c r="AA26" s="591" t="str">
        <f>IF($T26,$X26&amp;Sprache!$E$197&amp;$Y26,"")</f>
        <v/>
      </c>
      <c r="AE26" s="526"/>
      <c r="AF26" s="526"/>
      <c r="AG26" s="504"/>
      <c r="AH26" s="526"/>
      <c r="AI26" s="526"/>
      <c r="AJ26" s="526"/>
      <c r="AK26" s="582"/>
      <c r="AL26" s="526"/>
      <c r="AM26" s="526"/>
      <c r="AN26" s="526"/>
      <c r="AO26" s="526"/>
      <c r="AZ26" s="529"/>
      <c r="BA26" s="526"/>
      <c r="BB26" s="526"/>
      <c r="BC26" s="526"/>
      <c r="BD26" s="528"/>
      <c r="BE26" s="549"/>
      <c r="BF26" s="549"/>
      <c r="BG26" s="549"/>
      <c r="BH26" s="549"/>
      <c r="BI26" s="553"/>
      <c r="BJ26" s="553"/>
      <c r="BL26" s="528"/>
      <c r="BM26" s="528"/>
      <c r="BN26" s="529"/>
      <c r="BO26" s="529"/>
      <c r="BP26" s="529"/>
      <c r="BQ26" s="529"/>
      <c r="BR26" s="528"/>
      <c r="BS26" s="553"/>
      <c r="BT26" s="553"/>
      <c r="BU26" s="553"/>
      <c r="BV26" s="553"/>
    </row>
    <row r="27" spans="2:86" s="502" customFormat="1" ht="12.75" thickBot="1" x14ac:dyDescent="0.3">
      <c r="C27" s="504"/>
      <c r="D27" s="593"/>
      <c r="E27" s="593"/>
      <c r="F27" s="504"/>
      <c r="G27" s="504"/>
      <c r="H27" s="559"/>
      <c r="O27" s="594" t="s">
        <v>1085</v>
      </c>
      <c r="P27" s="614" t="str">
        <f>INDEX('World Cup'!$B$13:$AJ$38,26,1+(CODE($B$1)-65)*3)</f>
        <v>Kroatien</v>
      </c>
      <c r="Q27" s="615" t="str">
        <f>INDEX('World Cup'!$B$13:$AJ$38,26,2+(CODE($B$1)-65)*3)</f>
        <v>Ghana</v>
      </c>
      <c r="R27" s="615" t="str">
        <f>IF(OR(INDEX('World Cup'!$B$14:$AJ$39,26,1+(CODE($B$1)-65)*3)="",INDEX('World Cup'!$B$14:$AJ$39,26,2+(CODE($B$1)-65)*3)=""),"",INDEX('World Cup'!$B$14:$AJ$39,26,1+(CODE($B$1)-65)*3))</f>
        <v/>
      </c>
      <c r="S27" s="616" t="str">
        <f>IF(OR(INDEX('World Cup'!$B$14:$AJ$39,26,1+(CODE($B$1)-65)*3)="",INDEX('World Cup'!$B$14:$AJ$39,26,2+(CODE($B$1)-65)*3)=""),"",INDEX('World Cup'!$B$14:$AJ$39,26,2+(CODE($B$1)-65)*3))</f>
        <v/>
      </c>
      <c r="T27" s="596">
        <f t="shared" si="42"/>
        <v>0</v>
      </c>
      <c r="U27" s="597">
        <f t="shared" si="43"/>
        <v>0</v>
      </c>
      <c r="V27" s="596">
        <f t="shared" si="44"/>
        <v>0</v>
      </c>
      <c r="W27" s="598">
        <f t="shared" si="45"/>
        <v>0</v>
      </c>
      <c r="X27" s="599">
        <f t="shared" si="46"/>
        <v>0</v>
      </c>
      <c r="Y27" s="600">
        <f t="shared" si="47"/>
        <v>0</v>
      </c>
      <c r="Z27" s="601" t="str">
        <f t="shared" si="48"/>
        <v>KroatienGhana</v>
      </c>
      <c r="AA27" s="602" t="str">
        <f>IF($T27,$X27&amp;Sprache!$E$197&amp;$Y27,"")</f>
        <v/>
      </c>
      <c r="AE27" s="526"/>
      <c r="AF27" s="526"/>
      <c r="AG27" s="504"/>
      <c r="AH27" s="526"/>
      <c r="AI27" s="526"/>
      <c r="AJ27" s="526"/>
      <c r="AK27" s="582"/>
      <c r="AL27" s="526"/>
      <c r="AM27" s="526"/>
      <c r="AN27" s="526"/>
      <c r="AO27" s="526"/>
      <c r="AZ27" s="529"/>
      <c r="BA27" s="526"/>
      <c r="BB27" s="526"/>
      <c r="BC27" s="526"/>
      <c r="BD27" s="528"/>
      <c r="BE27" s="553"/>
      <c r="BF27" s="553"/>
      <c r="BG27" s="553"/>
      <c r="BH27" s="553"/>
      <c r="BI27" s="553"/>
      <c r="BJ27" s="553"/>
      <c r="BL27" s="528"/>
      <c r="BM27" s="528"/>
      <c r="BN27" s="529"/>
      <c r="BO27" s="529"/>
      <c r="BP27" s="529"/>
      <c r="BQ27" s="529"/>
      <c r="BR27" s="528"/>
      <c r="BS27" s="553"/>
      <c r="BT27" s="553"/>
      <c r="BU27" s="553"/>
      <c r="BV27" s="553"/>
    </row>
    <row r="28" spans="2:86" s="502" customFormat="1" ht="12.75" thickTop="1" x14ac:dyDescent="0.25">
      <c r="C28" s="504"/>
      <c r="D28" s="593"/>
      <c r="E28" s="593"/>
      <c r="F28" s="504"/>
      <c r="G28" s="504"/>
      <c r="H28" s="559"/>
      <c r="O28" s="572" t="s">
        <v>26</v>
      </c>
      <c r="P28" s="573"/>
      <c r="Q28" s="574"/>
      <c r="R28" s="574"/>
      <c r="S28" s="574"/>
      <c r="T28" s="574"/>
      <c r="U28" s="574"/>
      <c r="V28" s="574"/>
      <c r="W28" s="574"/>
      <c r="X28" s="574"/>
      <c r="Y28" s="603"/>
      <c r="Z28" s="590" t="str">
        <f t="shared" ref="Z28:Z33" si="49">Q22&amp;P22</f>
        <v>KroatienEngland</v>
      </c>
      <c r="AA28" s="591" t="str">
        <f>IF($T22,$Y22&amp;Sprache!$E$197&amp;$X22,"")</f>
        <v/>
      </c>
      <c r="AE28" s="526"/>
      <c r="AF28" s="526"/>
      <c r="AG28" s="504"/>
      <c r="AH28" s="526"/>
      <c r="AI28" s="526"/>
      <c r="AJ28" s="526"/>
      <c r="AK28" s="582"/>
      <c r="AL28" s="526"/>
      <c r="AM28" s="526"/>
      <c r="AN28" s="526"/>
      <c r="AO28" s="526"/>
      <c r="AZ28" s="529"/>
      <c r="BA28" s="526"/>
      <c r="BB28" s="526"/>
      <c r="BC28" s="526"/>
      <c r="BD28" s="528"/>
      <c r="BE28" s="553"/>
      <c r="BF28" s="553"/>
      <c r="BG28" s="553"/>
      <c r="BH28" s="553"/>
      <c r="BI28" s="553"/>
      <c r="BJ28" s="553"/>
      <c r="BL28" s="528"/>
      <c r="BM28" s="528"/>
      <c r="BN28" s="529"/>
      <c r="BO28" s="529"/>
      <c r="BP28" s="529"/>
      <c r="BQ28" s="529"/>
      <c r="BR28" s="528"/>
      <c r="BS28" s="553"/>
      <c r="BT28" s="553"/>
      <c r="BU28" s="553"/>
      <c r="BV28" s="553"/>
    </row>
    <row r="29" spans="2:86" s="502" customFormat="1" x14ac:dyDescent="0.25">
      <c r="C29" s="504"/>
      <c r="D29" s="593"/>
      <c r="E29" s="593"/>
      <c r="F29" s="504"/>
      <c r="G29" s="504"/>
      <c r="H29" s="604"/>
      <c r="O29" s="584" t="s">
        <v>27</v>
      </c>
      <c r="P29" s="585"/>
      <c r="Q29" s="504"/>
      <c r="R29" s="504"/>
      <c r="S29" s="504"/>
      <c r="T29" s="504"/>
      <c r="U29" s="504"/>
      <c r="V29" s="504"/>
      <c r="W29" s="504"/>
      <c r="X29" s="504"/>
      <c r="Y29" s="589"/>
      <c r="Z29" s="590" t="str">
        <f t="shared" si="49"/>
        <v>PanamaGhana</v>
      </c>
      <c r="AA29" s="591" t="str">
        <f>IF($T23,$Y23&amp;Sprache!$E$197&amp;$X23,"")</f>
        <v/>
      </c>
      <c r="AE29" s="526"/>
      <c r="AF29" s="526"/>
      <c r="AG29" s="504"/>
      <c r="AH29" s="526"/>
      <c r="AI29" s="526"/>
      <c r="AJ29" s="526"/>
      <c r="AK29" s="582"/>
      <c r="AL29" s="526"/>
      <c r="AM29" s="526"/>
      <c r="AN29" s="526"/>
      <c r="AO29" s="526"/>
      <c r="BI29" s="553"/>
      <c r="BJ29" s="553"/>
      <c r="BL29" s="528"/>
      <c r="BM29" s="528"/>
    </row>
    <row r="30" spans="2:86" s="502" customFormat="1" x14ac:dyDescent="0.25">
      <c r="C30" s="504"/>
      <c r="D30" s="593"/>
      <c r="E30" s="593"/>
      <c r="F30" s="504"/>
      <c r="G30" s="504"/>
      <c r="H30" s="604"/>
      <c r="O30" s="584" t="s">
        <v>28</v>
      </c>
      <c r="P30" s="585"/>
      <c r="Q30" s="504"/>
      <c r="R30" s="504"/>
      <c r="S30" s="504"/>
      <c r="T30" s="504"/>
      <c r="U30" s="504"/>
      <c r="V30" s="504"/>
      <c r="W30" s="504"/>
      <c r="X30" s="504"/>
      <c r="Y30" s="589"/>
      <c r="Z30" s="590" t="str">
        <f t="shared" si="49"/>
        <v>GhanaEngland</v>
      </c>
      <c r="AA30" s="591" t="str">
        <f>IF($T24,$Y24&amp;Sprache!$E$197&amp;$X24,"")</f>
        <v/>
      </c>
      <c r="AE30" s="526"/>
      <c r="AF30" s="526"/>
      <c r="AG30" s="504"/>
      <c r="AH30" s="526"/>
      <c r="AI30" s="526"/>
      <c r="AJ30" s="526"/>
      <c r="AK30" s="582"/>
      <c r="AL30" s="526"/>
      <c r="AM30" s="526"/>
      <c r="AN30" s="526"/>
      <c r="AO30" s="526"/>
      <c r="BI30" s="553"/>
      <c r="BJ30" s="553"/>
      <c r="BL30" s="528"/>
      <c r="BM30" s="528"/>
    </row>
    <row r="31" spans="2:86" s="502" customFormat="1" x14ac:dyDescent="0.25">
      <c r="C31" s="527"/>
      <c r="D31" s="504"/>
      <c r="E31" s="504"/>
      <c r="F31" s="504"/>
      <c r="G31" s="504"/>
      <c r="H31" s="604"/>
      <c r="O31" s="584" t="s">
        <v>29</v>
      </c>
      <c r="P31" s="585"/>
      <c r="Q31" s="504"/>
      <c r="R31" s="504"/>
      <c r="S31" s="504"/>
      <c r="T31" s="504"/>
      <c r="U31" s="504"/>
      <c r="V31" s="504"/>
      <c r="W31" s="504"/>
      <c r="X31" s="504"/>
      <c r="Y31" s="589"/>
      <c r="Z31" s="590" t="str">
        <f t="shared" si="49"/>
        <v>KroatienPanama</v>
      </c>
      <c r="AA31" s="591" t="str">
        <f>IF($T25,$Y25&amp;Sprache!$E$197&amp;$X25,"")</f>
        <v/>
      </c>
      <c r="AE31" s="528"/>
      <c r="AF31" s="528"/>
      <c r="AG31" s="504"/>
      <c r="AH31" s="528"/>
      <c r="AI31" s="528"/>
      <c r="AJ31" s="528"/>
      <c r="AK31" s="528"/>
      <c r="AL31" s="528"/>
      <c r="AM31" s="528"/>
      <c r="AN31" s="528"/>
      <c r="AO31" s="528"/>
    </row>
    <row r="32" spans="2:86" s="502" customFormat="1" x14ac:dyDescent="0.25">
      <c r="C32" s="527"/>
      <c r="D32" s="504"/>
      <c r="E32" s="504"/>
      <c r="F32" s="505"/>
      <c r="G32" s="504"/>
      <c r="H32" s="604"/>
      <c r="O32" s="584" t="s">
        <v>1084</v>
      </c>
      <c r="P32" s="585"/>
      <c r="Q32" s="504"/>
      <c r="R32" s="504"/>
      <c r="S32" s="504"/>
      <c r="T32" s="504"/>
      <c r="U32" s="504"/>
      <c r="V32" s="504"/>
      <c r="W32" s="504"/>
      <c r="X32" s="504"/>
      <c r="Y32" s="589"/>
      <c r="Z32" s="590" t="str">
        <f t="shared" si="49"/>
        <v>EnglandPanama</v>
      </c>
      <c r="AA32" s="591" t="str">
        <f>IF($T26,$Y26&amp;Sprache!$E$197&amp;$X26,"")</f>
        <v/>
      </c>
      <c r="AE32" s="529"/>
      <c r="AF32" s="528"/>
      <c r="AH32" s="528"/>
      <c r="AI32" s="528"/>
      <c r="AJ32" s="528"/>
      <c r="AK32" s="528"/>
      <c r="AL32" s="528"/>
      <c r="AM32" s="528"/>
      <c r="AN32" s="529"/>
      <c r="AO32" s="528"/>
    </row>
    <row r="33" spans="3:41" s="502" customFormat="1" ht="12.75" thickBot="1" x14ac:dyDescent="0.3">
      <c r="C33" s="527"/>
      <c r="D33" s="504"/>
      <c r="E33" s="504"/>
      <c r="F33" s="504"/>
      <c r="G33" s="504"/>
      <c r="H33" s="504"/>
      <c r="O33" s="594" t="s">
        <v>1085</v>
      </c>
      <c r="P33" s="595"/>
      <c r="Q33" s="596"/>
      <c r="R33" s="596"/>
      <c r="S33" s="596"/>
      <c r="T33" s="596"/>
      <c r="U33" s="596"/>
      <c r="V33" s="596"/>
      <c r="W33" s="596"/>
      <c r="X33" s="596"/>
      <c r="Y33" s="600"/>
      <c r="Z33" s="601" t="str">
        <f t="shared" si="49"/>
        <v>GhanaKroatien</v>
      </c>
      <c r="AA33" s="602" t="str">
        <f>IF($T27,$Y27&amp;Sprache!$E$197&amp;$X27,"")</f>
        <v/>
      </c>
      <c r="AE33" s="526"/>
      <c r="AF33" s="526"/>
      <c r="AH33" s="526"/>
      <c r="AI33" s="526"/>
      <c r="AJ33" s="526"/>
      <c r="AK33" s="582"/>
      <c r="AL33" s="526"/>
      <c r="AM33" s="526"/>
      <c r="AN33" s="526"/>
      <c r="AO33" s="526"/>
    </row>
    <row r="34" spans="3:41" ht="12.75" thickTop="1" x14ac:dyDescent="0.2"/>
  </sheetData>
  <mergeCells count="1">
    <mergeCell ref="U21:V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J31"/>
  <sheetViews>
    <sheetView showGridLines="0" showRowColHeaders="0" workbookViewId="0">
      <selection activeCell="C6" sqref="C6"/>
    </sheetView>
  </sheetViews>
  <sheetFormatPr baseColWidth="10" defaultColWidth="0" defaultRowHeight="15" zeroHeight="1" x14ac:dyDescent="0.25"/>
  <cols>
    <col min="1" max="1" width="11.42578125" customWidth="1"/>
    <col min="2" max="3" width="16.7109375" customWidth="1"/>
    <col min="4" max="4" width="11.42578125" customWidth="1"/>
    <col min="5" max="6" width="16.7109375" customWidth="1"/>
    <col min="7" max="7" width="11.42578125" customWidth="1"/>
    <col min="8" max="9" width="16.7109375" customWidth="1"/>
    <col min="10" max="10" width="11.42578125" customWidth="1"/>
    <col min="11" max="16384" width="11.42578125" hidden="1"/>
  </cols>
  <sheetData>
    <row r="1" spans="1:9" x14ac:dyDescent="0.25"/>
    <row r="2" spans="1:9" ht="38.25" customHeight="1" x14ac:dyDescent="0.25">
      <c r="B2" s="743" t="str">
        <f>Sprache!$E$123</f>
        <v>Fair-Play</v>
      </c>
      <c r="C2" s="744"/>
      <c r="D2" s="744"/>
      <c r="E2" s="744"/>
      <c r="F2" s="744"/>
    </row>
    <row r="3" spans="1:9" ht="75.75" customHeight="1" x14ac:dyDescent="0.25">
      <c r="B3" s="745" t="str">
        <f>Sprache!$E$193</f>
        <v>Hier können die Minuspunkte der Fair-Play-Wertung eingetragen werden.</v>
      </c>
      <c r="C3" s="745"/>
      <c r="D3" s="745"/>
      <c r="E3" s="745"/>
      <c r="F3" s="745"/>
    </row>
    <row r="4" spans="1:9" ht="18" customHeight="1" x14ac:dyDescent="0.25">
      <c r="B4" s="63"/>
      <c r="C4" s="63"/>
      <c r="D4" s="63"/>
      <c r="E4" s="63"/>
      <c r="F4" s="63"/>
    </row>
    <row r="5" spans="1:9" ht="19.5" thickBot="1" x14ac:dyDescent="0.35">
      <c r="A5" s="198" t="s">
        <v>24</v>
      </c>
      <c r="B5" s="254" t="str">
        <f>Sprache!$E$130&amp;" "&amp;A5</f>
        <v>Gruppe A</v>
      </c>
      <c r="C5" s="666" t="str">
        <f>Sprache!$E$174</f>
        <v>Wertung</v>
      </c>
      <c r="D5" s="198" t="s">
        <v>22</v>
      </c>
      <c r="E5" s="254" t="str">
        <f>Sprache!$E$130&amp;" "&amp;D5</f>
        <v>Gruppe E</v>
      </c>
      <c r="F5" s="666" t="str">
        <f>Sprache!$E$174</f>
        <v>Wertung</v>
      </c>
      <c r="G5" s="198" t="s">
        <v>32</v>
      </c>
      <c r="H5" s="254" t="str">
        <f>Sprache!$E$130&amp;" "&amp;G5</f>
        <v>Gruppe I</v>
      </c>
      <c r="I5" s="666" t="str">
        <f>Sprache!$E$174</f>
        <v>Wertung</v>
      </c>
    </row>
    <row r="6" spans="1:9" x14ac:dyDescent="0.25">
      <c r="B6" s="28" t="str">
        <f>VLOOKUP(A5&amp;"1",Groups!$B$7:$D$65,3,0)</f>
        <v>Mexiko</v>
      </c>
      <c r="C6" s="64">
        <v>0</v>
      </c>
      <c r="E6" s="28" t="str">
        <f>VLOOKUP(D5&amp;"1",Groups!$B$7:$D$65,3,0)</f>
        <v>Deutschland</v>
      </c>
      <c r="F6" s="64">
        <v>0</v>
      </c>
      <c r="H6" s="28" t="str">
        <f>VLOOKUP(G5&amp;"1",Groups!$B$7:$D$65,3,0)</f>
        <v>Frankreich</v>
      </c>
      <c r="I6" s="64">
        <v>0</v>
      </c>
    </row>
    <row r="7" spans="1:9" x14ac:dyDescent="0.25">
      <c r="B7" s="28" t="str">
        <f>VLOOKUP(A5&amp;"2",Groups!$B$7:$D$65,3,0)</f>
        <v>Südafrika</v>
      </c>
      <c r="C7" s="65">
        <v>0</v>
      </c>
      <c r="E7" s="28" t="str">
        <f>VLOOKUP(D5&amp;"2",Groups!$B$7:$D$65,3,0)</f>
        <v>Curaçao</v>
      </c>
      <c r="F7" s="65">
        <v>0</v>
      </c>
      <c r="H7" s="28" t="str">
        <f>VLOOKUP(G5&amp;"2",Groups!$B$7:$D$65,3,0)</f>
        <v>Senegal</v>
      </c>
      <c r="I7" s="65">
        <v>0</v>
      </c>
    </row>
    <row r="8" spans="1:9" x14ac:dyDescent="0.25">
      <c r="B8" s="28" t="str">
        <f>VLOOKUP(A5&amp;"3",Groups!$B$7:$D$65,3,0)</f>
        <v>Südkorea</v>
      </c>
      <c r="C8" s="65">
        <v>0</v>
      </c>
      <c r="E8" s="28" t="str">
        <f>VLOOKUP(D5&amp;"3",Groups!$B$7:$D$65,3,0)</f>
        <v>Elfenbeinküste</v>
      </c>
      <c r="F8" s="65">
        <v>0</v>
      </c>
      <c r="H8" s="28" t="str">
        <f>VLOOKUP(G5&amp;"3",Groups!$B$7:$D$65,3,0)</f>
        <v>Irak</v>
      </c>
      <c r="I8" s="65">
        <v>0</v>
      </c>
    </row>
    <row r="9" spans="1:9" x14ac:dyDescent="0.25">
      <c r="B9" s="28" t="str">
        <f>VLOOKUP(A5&amp;"4",Groups!$B$7:$D$65,3,0)</f>
        <v>Tschechien</v>
      </c>
      <c r="C9" s="65">
        <v>0</v>
      </c>
      <c r="E9" s="28" t="str">
        <f>VLOOKUP(D5&amp;"4",Groups!$B$7:$D$65,3,0)</f>
        <v>Ecuador</v>
      </c>
      <c r="F9" s="65">
        <v>0</v>
      </c>
      <c r="H9" s="28" t="str">
        <f>VLOOKUP(G5&amp;"4",Groups!$B$7:$D$65,3,0)</f>
        <v>Norwegen</v>
      </c>
      <c r="I9" s="65">
        <v>0</v>
      </c>
    </row>
    <row r="10" spans="1:9" x14ac:dyDescent="0.25">
      <c r="C10" s="26"/>
      <c r="F10" s="26"/>
      <c r="I10" s="244"/>
    </row>
    <row r="11" spans="1:9" ht="19.5" thickBot="1" x14ac:dyDescent="0.35">
      <c r="A11" s="198" t="s">
        <v>20</v>
      </c>
      <c r="B11" s="254" t="str">
        <f>Sprache!$E$130&amp;" "&amp;A11</f>
        <v>Gruppe B</v>
      </c>
      <c r="C11" s="666" t="str">
        <f>Sprache!$E$174</f>
        <v>Wertung</v>
      </c>
      <c r="D11" s="198" t="s">
        <v>23</v>
      </c>
      <c r="E11" s="254" t="str">
        <f>Sprache!$E$130&amp;" "&amp;D11</f>
        <v>Gruppe F</v>
      </c>
      <c r="F11" s="666" t="str">
        <f>Sprache!$E$174</f>
        <v>Wertung</v>
      </c>
      <c r="G11" s="198" t="s">
        <v>814</v>
      </c>
      <c r="H11" s="254" t="str">
        <f>Sprache!$E$130&amp;" "&amp;G11</f>
        <v>Gruppe J</v>
      </c>
      <c r="I11" s="666" t="str">
        <f>Sprache!$E$174</f>
        <v>Wertung</v>
      </c>
    </row>
    <row r="12" spans="1:9" x14ac:dyDescent="0.25">
      <c r="B12" s="28" t="str">
        <f>VLOOKUP(A11&amp;"1",Groups!$B$7:$D$65,3,0)</f>
        <v>Kanada</v>
      </c>
      <c r="C12" s="64">
        <v>0</v>
      </c>
      <c r="E12" s="28" t="str">
        <f>VLOOKUP(D11&amp;"1",Groups!$B$7:$D$65,3,0)</f>
        <v>Niederlande</v>
      </c>
      <c r="F12" s="64">
        <v>0</v>
      </c>
      <c r="H12" s="28" t="str">
        <f>VLOOKUP(G11&amp;"1",Groups!$B$7:$D$65,3,0)</f>
        <v>Argentinien</v>
      </c>
      <c r="I12" s="64">
        <v>0</v>
      </c>
    </row>
    <row r="13" spans="1:9" x14ac:dyDescent="0.25">
      <c r="B13" s="28" t="str">
        <f>VLOOKUP(A11&amp;"2",Groups!$B$7:$D$65,3,0)</f>
        <v>Bosnien/Herzeg.</v>
      </c>
      <c r="C13" s="65">
        <v>0</v>
      </c>
      <c r="E13" s="28" t="str">
        <f>VLOOKUP(D11&amp;"2",Groups!$B$7:$D$65,3,0)</f>
        <v>Japan</v>
      </c>
      <c r="F13" s="65">
        <v>0</v>
      </c>
      <c r="H13" s="28" t="str">
        <f>VLOOKUP(G11&amp;"2",Groups!$B$7:$D$65,3,0)</f>
        <v>Algerien</v>
      </c>
      <c r="I13" s="65">
        <v>0</v>
      </c>
    </row>
    <row r="14" spans="1:9" x14ac:dyDescent="0.25">
      <c r="B14" s="28" t="str">
        <f>VLOOKUP(A11&amp;"3",Groups!$B$7:$D$65,3,0)</f>
        <v>Katar</v>
      </c>
      <c r="C14" s="65">
        <v>0</v>
      </c>
      <c r="E14" s="28" t="str">
        <f>VLOOKUP(D11&amp;"3",Groups!$B$7:$D$65,3,0)</f>
        <v>Schweden</v>
      </c>
      <c r="F14" s="65">
        <v>0</v>
      </c>
      <c r="H14" s="28" t="str">
        <f>VLOOKUP(G11&amp;"3",Groups!$B$7:$D$65,3,0)</f>
        <v>Österreich</v>
      </c>
      <c r="I14" s="65">
        <v>0</v>
      </c>
    </row>
    <row r="15" spans="1:9" x14ac:dyDescent="0.25">
      <c r="B15" s="28" t="str">
        <f>VLOOKUP(A11&amp;"4",Groups!$B$7:$D$65,3,0)</f>
        <v>Schweiz</v>
      </c>
      <c r="C15" s="65">
        <v>0</v>
      </c>
      <c r="E15" s="28" t="str">
        <f>VLOOKUP(D11&amp;"4",Groups!$B$7:$D$65,3,0)</f>
        <v>Tunesien</v>
      </c>
      <c r="F15" s="65">
        <v>0</v>
      </c>
      <c r="H15" s="28" t="str">
        <f>VLOOKUP(G11&amp;"4",Groups!$B$7:$D$65,3,0)</f>
        <v>Jordanien</v>
      </c>
      <c r="I15" s="65">
        <v>0</v>
      </c>
    </row>
    <row r="16" spans="1:9" x14ac:dyDescent="0.25">
      <c r="C16" s="26"/>
      <c r="F16" s="26"/>
      <c r="I16" s="244"/>
    </row>
    <row r="17" spans="1:9" ht="19.5" thickBot="1" x14ac:dyDescent="0.35">
      <c r="A17" s="198" t="s">
        <v>21</v>
      </c>
      <c r="B17" s="254" t="str">
        <f>Sprache!$E$130&amp;" "&amp;A17</f>
        <v>Gruppe C</v>
      </c>
      <c r="C17" s="666" t="str">
        <f>Sprache!$E$174</f>
        <v>Wertung</v>
      </c>
      <c r="D17" s="198" t="s">
        <v>270</v>
      </c>
      <c r="E17" s="254" t="str">
        <f>Sprache!$E$130&amp;" "&amp;D17</f>
        <v>Gruppe G</v>
      </c>
      <c r="F17" s="666" t="str">
        <f>Sprache!$E$174</f>
        <v>Wertung</v>
      </c>
      <c r="G17" s="198" t="s">
        <v>33</v>
      </c>
      <c r="H17" s="254" t="str">
        <f>Sprache!$E$130&amp;" "&amp;G17</f>
        <v>Gruppe K</v>
      </c>
      <c r="I17" s="666" t="str">
        <f>Sprache!$E$174</f>
        <v>Wertung</v>
      </c>
    </row>
    <row r="18" spans="1:9" x14ac:dyDescent="0.25">
      <c r="B18" s="28" t="str">
        <f>VLOOKUP(A17&amp;"1",Groups!$B$7:$D$65,3,0)</f>
        <v>Brasilien</v>
      </c>
      <c r="C18" s="64">
        <v>0</v>
      </c>
      <c r="E18" s="28" t="str">
        <f>VLOOKUP(D17&amp;"1",Groups!$B$7:$D$65,3,0)</f>
        <v>Belgien</v>
      </c>
      <c r="F18" s="64">
        <v>0</v>
      </c>
      <c r="H18" s="28" t="str">
        <f>VLOOKUP(G17&amp;"1",Groups!$B$7:$D$65,3,0)</f>
        <v>Portugal</v>
      </c>
      <c r="I18" s="64">
        <v>0</v>
      </c>
    </row>
    <row r="19" spans="1:9" x14ac:dyDescent="0.25">
      <c r="B19" s="28" t="str">
        <f>VLOOKUP(A17&amp;"2",Groups!$B$7:$D$65,3,0)</f>
        <v>Marokko</v>
      </c>
      <c r="C19" s="65">
        <v>0</v>
      </c>
      <c r="E19" s="28" t="str">
        <f>VLOOKUP(D17&amp;"2",Groups!$B$7:$D$65,3,0)</f>
        <v>Ägypten</v>
      </c>
      <c r="F19" s="65">
        <v>0</v>
      </c>
      <c r="H19" s="28" t="str">
        <f>VLOOKUP(G17&amp;"2",Groups!$B$7:$D$65,3,0)</f>
        <v>DR Kongo</v>
      </c>
      <c r="I19" s="65">
        <v>0</v>
      </c>
    </row>
    <row r="20" spans="1:9" x14ac:dyDescent="0.25">
      <c r="B20" s="28" t="str">
        <f>VLOOKUP(A17&amp;"3",Groups!$B$7:$D$65,3,0)</f>
        <v>Haiti</v>
      </c>
      <c r="C20" s="65">
        <v>0</v>
      </c>
      <c r="E20" s="28" t="str">
        <f>VLOOKUP(D17&amp;"3",Groups!$B$7:$D$65,3,0)</f>
        <v>IR Iran</v>
      </c>
      <c r="F20" s="65">
        <v>0</v>
      </c>
      <c r="H20" s="28" t="str">
        <f>VLOOKUP(G17&amp;"3",Groups!$B$7:$D$65,3,0)</f>
        <v>Usbekistan</v>
      </c>
      <c r="I20" s="65">
        <v>0</v>
      </c>
    </row>
    <row r="21" spans="1:9" x14ac:dyDescent="0.25">
      <c r="B21" s="28" t="str">
        <f>VLOOKUP(A17&amp;"4",Groups!$B$7:$D$65,3,0)</f>
        <v>Schottland</v>
      </c>
      <c r="C21" s="65">
        <v>0</v>
      </c>
      <c r="E21" s="28" t="str">
        <f>VLOOKUP(D17&amp;"4",Groups!$B$7:$D$65,3,0)</f>
        <v>Neuseeland</v>
      </c>
      <c r="F21" s="65">
        <v>0</v>
      </c>
      <c r="H21" s="28" t="str">
        <f>VLOOKUP(G17&amp;"4",Groups!$B$7:$D$65,3,0)</f>
        <v>Kolumbien</v>
      </c>
      <c r="I21" s="65">
        <v>0</v>
      </c>
    </row>
    <row r="22" spans="1:9" x14ac:dyDescent="0.25">
      <c r="C22" s="26"/>
      <c r="F22" s="26"/>
      <c r="I22" s="244"/>
    </row>
    <row r="23" spans="1:9" ht="19.5" thickBot="1" x14ac:dyDescent="0.35">
      <c r="A23" s="198" t="s">
        <v>25</v>
      </c>
      <c r="B23" s="254" t="str">
        <f>Sprache!$E$130&amp;" "&amp;A23</f>
        <v>Gruppe D</v>
      </c>
      <c r="C23" s="666" t="str">
        <f>Sprache!$E$174</f>
        <v>Wertung</v>
      </c>
      <c r="D23" s="198" t="s">
        <v>31</v>
      </c>
      <c r="E23" s="254" t="str">
        <f>Sprache!$E$130&amp;" "&amp;D23</f>
        <v>Gruppe H</v>
      </c>
      <c r="F23" s="666" t="str">
        <f>Sprache!$E$174</f>
        <v>Wertung</v>
      </c>
      <c r="G23" s="198" t="s">
        <v>34</v>
      </c>
      <c r="H23" s="254" t="str">
        <f>Sprache!$E$130&amp;" "&amp;G23</f>
        <v>Gruppe L</v>
      </c>
      <c r="I23" s="666" t="str">
        <f>Sprache!$E$174</f>
        <v>Wertung</v>
      </c>
    </row>
    <row r="24" spans="1:9" x14ac:dyDescent="0.25">
      <c r="B24" s="28" t="str">
        <f>VLOOKUP(A23&amp;"1",Groups!$B$7:$D$65,3,0)</f>
        <v>USA</v>
      </c>
      <c r="C24" s="64">
        <v>0</v>
      </c>
      <c r="E24" s="28" t="str">
        <f>VLOOKUP(D23&amp;"1",Groups!$B$7:$D$65,3,0)</f>
        <v>Spanien</v>
      </c>
      <c r="F24" s="64">
        <v>0</v>
      </c>
      <c r="H24" s="28" t="str">
        <f>VLOOKUP(G23&amp;"1",Groups!$B$7:$D$65,3,0)</f>
        <v>England</v>
      </c>
      <c r="I24" s="64">
        <v>0</v>
      </c>
    </row>
    <row r="25" spans="1:9" x14ac:dyDescent="0.25">
      <c r="B25" s="28" t="str">
        <f>VLOOKUP(A23&amp;"2",Groups!$B$7:$D$65,3,0)</f>
        <v>Paraguay</v>
      </c>
      <c r="C25" s="65">
        <v>0</v>
      </c>
      <c r="E25" s="28" t="str">
        <f>VLOOKUP(D23&amp;"2",Groups!$B$7:$D$65,3,0)</f>
        <v>Kap Verde</v>
      </c>
      <c r="F25" s="65">
        <v>0</v>
      </c>
      <c r="H25" s="28" t="str">
        <f>VLOOKUP(G23&amp;"2",Groups!$B$7:$D$65,3,0)</f>
        <v>Kroatien</v>
      </c>
      <c r="I25" s="65">
        <v>0</v>
      </c>
    </row>
    <row r="26" spans="1:9" x14ac:dyDescent="0.25">
      <c r="B26" s="28" t="str">
        <f>VLOOKUP(A23&amp;"3",Groups!$B$7:$D$65,3,0)</f>
        <v>Australien</v>
      </c>
      <c r="C26" s="65">
        <v>0</v>
      </c>
      <c r="E26" s="28" t="str">
        <f>VLOOKUP(D23&amp;"3",Groups!$B$7:$D$65,3,0)</f>
        <v>Saudiarabien</v>
      </c>
      <c r="F26" s="65">
        <v>0</v>
      </c>
      <c r="H26" s="28" t="str">
        <f>VLOOKUP(G23&amp;"3",Groups!$B$7:$D$65,3,0)</f>
        <v>Ghana</v>
      </c>
      <c r="I26" s="65">
        <v>0</v>
      </c>
    </row>
    <row r="27" spans="1:9" x14ac:dyDescent="0.25">
      <c r="B27" s="28" t="str">
        <f>VLOOKUP(A23&amp;"4",Groups!$B$7:$D$65,3,0)</f>
        <v>Türkei</v>
      </c>
      <c r="C27" s="65">
        <v>0</v>
      </c>
      <c r="E27" s="28" t="str">
        <f>VLOOKUP(D23&amp;"4",Groups!$B$7:$D$65,3,0)</f>
        <v>Uruguay</v>
      </c>
      <c r="F27" s="65">
        <v>0</v>
      </c>
      <c r="H27" s="28" t="str">
        <f>VLOOKUP(G23&amp;"4",Groups!$B$7:$D$65,3,0)</f>
        <v>Panama</v>
      </c>
      <c r="I27" s="65">
        <v>0</v>
      </c>
    </row>
    <row r="28" spans="1:9" x14ac:dyDescent="0.25"/>
    <row r="29" spans="1:9" x14ac:dyDescent="0.25"/>
    <row r="30" spans="1:9" x14ac:dyDescent="0.25"/>
    <row r="31" spans="1:9" x14ac:dyDescent="0.25"/>
  </sheetData>
  <sheetProtection sheet="1" selectLockedCells="1"/>
  <mergeCells count="2">
    <mergeCell ref="B2:F2"/>
    <mergeCell ref="B3:F3"/>
  </mergeCells>
  <conditionalFormatting sqref="C6:C9 C12:C15 C18:C21 C24:C27 F6:F9 F12:F15 F18:F21 F24:F27 I6:I9 I12:I15 I18:I21 I24:I27">
    <cfRule type="cellIs" dxfId="13" priority="1" operator="notEqual">
      <formula>0</formula>
    </cfRule>
  </conditionalFormatting>
  <dataValidations count="1">
    <dataValidation type="whole" allowBlank="1" showInputMessage="1" showErrorMessage="1" sqref="C6:C9 C12:C15 C18:C21 C24:C27 F6:F9 F12:F15 F18:F21 F24:F27 I6:I9 I12:I15 I18:I21 I24:I27" xr:uid="{DC4C1E40-7F8A-42D1-8F8B-FB6BF3D0B540}">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64"/>
  <sheetViews>
    <sheetView showGridLines="0" showRowColHeaders="0" zoomScaleNormal="100" workbookViewId="0">
      <selection activeCell="N1" sqref="N1"/>
    </sheetView>
  </sheetViews>
  <sheetFormatPr baseColWidth="10" defaultColWidth="0" defaultRowHeight="15"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42.75" customHeight="1" thickBot="1" x14ac:dyDescent="0.5">
      <c r="B1" s="207"/>
      <c r="D1" s="667"/>
      <c r="F1" s="748" t="str">
        <f>Sprache!$E$126</f>
        <v>Wahl der Sprache</v>
      </c>
      <c r="G1" s="748"/>
      <c r="H1" s="748"/>
      <c r="I1" s="748"/>
      <c r="J1" s="748"/>
      <c r="K1" s="232"/>
      <c r="L1" s="749" t="str">
        <f>Sprache!$E$196</f>
        <v>Hier klicken und Sprache wählen:</v>
      </c>
      <c r="M1" s="750"/>
      <c r="N1" s="235" t="s">
        <v>109</v>
      </c>
      <c r="O1" s="256" t="s">
        <v>538</v>
      </c>
    </row>
    <row r="2" spans="2:15" ht="11.25" customHeight="1" thickBot="1" x14ac:dyDescent="0.3">
      <c r="D2" s="211">
        <v>46113</v>
      </c>
      <c r="F2" s="751"/>
      <c r="G2" s="751"/>
      <c r="H2" s="751"/>
      <c r="I2" s="751"/>
      <c r="J2" s="751"/>
      <c r="K2" s="233"/>
      <c r="M2" s="90"/>
      <c r="N2" s="92"/>
    </row>
    <row r="3" spans="2:15" ht="15.75" thickTop="1" x14ac:dyDescent="0.25">
      <c r="B3" s="25" t="s">
        <v>87</v>
      </c>
      <c r="C3" s="38">
        <f>IF(AND($N$1&lt;&gt;B4,$N$1&lt;&gt;B5,$N$1&lt;&gt;B6,$N$1&lt;&gt;B7,$N$1&lt;&gt;B8,$N$1&lt;&gt;B9),1,0)</f>
        <v>0</v>
      </c>
      <c r="D3" s="752" t="s">
        <v>537</v>
      </c>
      <c r="E3" s="756"/>
      <c r="F3" s="757" t="s">
        <v>87</v>
      </c>
      <c r="G3" s="754" t="s">
        <v>88</v>
      </c>
      <c r="H3" s="754" t="s">
        <v>89</v>
      </c>
      <c r="I3" s="759" t="s">
        <v>90</v>
      </c>
      <c r="J3" s="754" t="s">
        <v>109</v>
      </c>
      <c r="K3" s="754" t="s">
        <v>712</v>
      </c>
      <c r="L3" s="746" t="s">
        <v>91</v>
      </c>
      <c r="M3" s="23"/>
    </row>
    <row r="4" spans="2:15" x14ac:dyDescent="0.25">
      <c r="B4" s="25" t="s">
        <v>88</v>
      </c>
      <c r="C4" s="38">
        <f t="shared" ref="C4:C9" si="0">IF($N$1=B4,1,0)</f>
        <v>0</v>
      </c>
      <c r="D4" s="753"/>
      <c r="E4" s="756"/>
      <c r="F4" s="758"/>
      <c r="G4" s="755"/>
      <c r="H4" s="755"/>
      <c r="I4" s="760"/>
      <c r="J4" s="755"/>
      <c r="K4" s="761"/>
      <c r="L4" s="747"/>
      <c r="M4" s="43"/>
      <c r="N4" s="44"/>
    </row>
    <row r="5" spans="2:15" x14ac:dyDescent="0.25">
      <c r="B5" s="25" t="s">
        <v>89</v>
      </c>
      <c r="C5" s="38">
        <f t="shared" si="0"/>
        <v>0</v>
      </c>
      <c r="D5" s="167">
        <v>1</v>
      </c>
      <c r="E5" s="188" t="str">
        <f>IF($C$3,F5,IF($C$4,G5,IF($C$5,H5,IF($C$6,I5,IF($C$7,J5,IF($C$8,K5,IF(L5&lt;&gt;"",L5,F5)))))))</f>
        <v>Frankreich</v>
      </c>
      <c r="F5" s="118" t="s">
        <v>39</v>
      </c>
      <c r="G5" s="119" t="s">
        <v>66</v>
      </c>
      <c r="H5" s="117" t="s">
        <v>66</v>
      </c>
      <c r="I5" s="120" t="s">
        <v>39</v>
      </c>
      <c r="J5" s="117" t="s">
        <v>100</v>
      </c>
      <c r="K5" s="468" t="s">
        <v>715</v>
      </c>
      <c r="L5" s="69"/>
    </row>
    <row r="6" spans="2:15" x14ac:dyDescent="0.25">
      <c r="B6" s="25" t="s">
        <v>90</v>
      </c>
      <c r="C6" s="38">
        <f t="shared" si="0"/>
        <v>0</v>
      </c>
      <c r="D6" s="167">
        <v>2</v>
      </c>
      <c r="E6" s="188" t="str">
        <f t="shared" ref="E6:E69" si="1">IF($C$3,F6,IF($C$4,G6,IF($C$5,H6,IF($C$6,I6,IF($C$7,J6,IF($C$8,K6,IF(L6&lt;&gt;"",L6,F6)))))))</f>
        <v>Spanien</v>
      </c>
      <c r="F6" s="118" t="s">
        <v>38</v>
      </c>
      <c r="G6" s="119" t="s">
        <v>64</v>
      </c>
      <c r="H6" s="117" t="s">
        <v>80</v>
      </c>
      <c r="I6" s="120" t="s">
        <v>81</v>
      </c>
      <c r="J6" s="117" t="s">
        <v>102</v>
      </c>
      <c r="K6" s="468" t="s">
        <v>813</v>
      </c>
      <c r="L6" s="69"/>
    </row>
    <row r="7" spans="2:15" x14ac:dyDescent="0.25">
      <c r="B7" s="25" t="s">
        <v>109</v>
      </c>
      <c r="C7" s="38">
        <f t="shared" si="0"/>
        <v>1</v>
      </c>
      <c r="D7" s="167">
        <v>3</v>
      </c>
      <c r="E7" s="188" t="str">
        <f t="shared" si="1"/>
        <v>Argentinien</v>
      </c>
      <c r="F7" s="118" t="s">
        <v>323</v>
      </c>
      <c r="G7" s="119" t="s">
        <v>323</v>
      </c>
      <c r="H7" s="117" t="s">
        <v>323</v>
      </c>
      <c r="I7" s="120" t="s">
        <v>376</v>
      </c>
      <c r="J7" s="117" t="s">
        <v>253</v>
      </c>
      <c r="K7" s="468" t="s">
        <v>716</v>
      </c>
      <c r="L7" s="69"/>
    </row>
    <row r="8" spans="2:15" x14ac:dyDescent="0.25">
      <c r="B8" s="25" t="s">
        <v>712</v>
      </c>
      <c r="C8" s="38">
        <f t="shared" si="0"/>
        <v>0</v>
      </c>
      <c r="D8" s="167">
        <v>4</v>
      </c>
      <c r="E8" s="188" t="str">
        <f t="shared" si="1"/>
        <v>England</v>
      </c>
      <c r="F8" s="118" t="s">
        <v>1</v>
      </c>
      <c r="G8" s="119" t="s">
        <v>61</v>
      </c>
      <c r="H8" s="117" t="s">
        <v>75</v>
      </c>
      <c r="I8" s="120" t="s">
        <v>76</v>
      </c>
      <c r="J8" s="117" t="s">
        <v>1</v>
      </c>
      <c r="K8" s="468" t="s">
        <v>717</v>
      </c>
      <c r="L8" s="69"/>
    </row>
    <row r="9" spans="2:15" x14ac:dyDescent="0.25">
      <c r="B9" s="25" t="s">
        <v>91</v>
      </c>
      <c r="C9" s="38">
        <f t="shared" si="0"/>
        <v>0</v>
      </c>
      <c r="D9" s="167">
        <v>5</v>
      </c>
      <c r="E9" s="188" t="str">
        <f t="shared" si="1"/>
        <v>Portugal</v>
      </c>
      <c r="F9" s="118" t="s">
        <v>0</v>
      </c>
      <c r="G9" s="119" t="s">
        <v>0</v>
      </c>
      <c r="H9" s="117" t="s">
        <v>84</v>
      </c>
      <c r="I9" s="120" t="s">
        <v>0</v>
      </c>
      <c r="J9" s="117" t="s">
        <v>0</v>
      </c>
      <c r="K9" s="468" t="s">
        <v>0</v>
      </c>
      <c r="L9" s="69"/>
    </row>
    <row r="10" spans="2:15" x14ac:dyDescent="0.25">
      <c r="D10" s="167">
        <v>6</v>
      </c>
      <c r="E10" s="188" t="str">
        <f t="shared" si="1"/>
        <v>Brasilien</v>
      </c>
      <c r="F10" s="118" t="s">
        <v>328</v>
      </c>
      <c r="G10" s="119" t="s">
        <v>329</v>
      </c>
      <c r="H10" s="117" t="s">
        <v>330</v>
      </c>
      <c r="I10" s="120" t="s">
        <v>331</v>
      </c>
      <c r="J10" s="117" t="s">
        <v>169</v>
      </c>
      <c r="K10" s="468" t="s">
        <v>713</v>
      </c>
      <c r="L10" s="69"/>
    </row>
    <row r="11" spans="2:15" x14ac:dyDescent="0.25">
      <c r="D11" s="167">
        <v>7</v>
      </c>
      <c r="E11" s="188" t="str">
        <f t="shared" si="1"/>
        <v>Niederlande</v>
      </c>
      <c r="F11" s="118" t="s">
        <v>397</v>
      </c>
      <c r="G11" s="119" t="s">
        <v>438</v>
      </c>
      <c r="H11" s="117" t="s">
        <v>439</v>
      </c>
      <c r="I11" s="120" t="s">
        <v>440</v>
      </c>
      <c r="J11" s="117" t="s">
        <v>441</v>
      </c>
      <c r="K11" s="468" t="s">
        <v>718</v>
      </c>
      <c r="L11" s="69"/>
    </row>
    <row r="12" spans="2:15" x14ac:dyDescent="0.25">
      <c r="D12" s="167">
        <v>8</v>
      </c>
      <c r="E12" s="188" t="str">
        <f t="shared" si="1"/>
        <v>Marokko</v>
      </c>
      <c r="F12" s="118" t="s">
        <v>314</v>
      </c>
      <c r="G12" s="119" t="s">
        <v>315</v>
      </c>
      <c r="H12" s="117" t="s">
        <v>316</v>
      </c>
      <c r="I12" s="120" t="s">
        <v>317</v>
      </c>
      <c r="J12" s="117" t="s">
        <v>250</v>
      </c>
      <c r="K12" s="468" t="s">
        <v>250</v>
      </c>
      <c r="L12" s="69"/>
    </row>
    <row r="13" spans="2:15" x14ac:dyDescent="0.25">
      <c r="D13" s="167">
        <v>9</v>
      </c>
      <c r="E13" s="188" t="str">
        <f t="shared" si="1"/>
        <v>Belgien</v>
      </c>
      <c r="F13" s="118" t="s">
        <v>36</v>
      </c>
      <c r="G13" s="119" t="s">
        <v>59</v>
      </c>
      <c r="H13" s="117" t="s">
        <v>72</v>
      </c>
      <c r="I13" s="120" t="s">
        <v>73</v>
      </c>
      <c r="J13" s="117" t="s">
        <v>106</v>
      </c>
      <c r="K13" s="468" t="s">
        <v>714</v>
      </c>
      <c r="L13" s="69"/>
    </row>
    <row r="14" spans="2:15" x14ac:dyDescent="0.25">
      <c r="D14" s="167">
        <v>10</v>
      </c>
      <c r="E14" s="188" t="str">
        <f t="shared" si="1"/>
        <v>Deutschland</v>
      </c>
      <c r="F14" s="118" t="s">
        <v>37</v>
      </c>
      <c r="G14" s="119" t="s">
        <v>67</v>
      </c>
      <c r="H14" s="117" t="s">
        <v>85</v>
      </c>
      <c r="I14" s="120" t="s">
        <v>86</v>
      </c>
      <c r="J14" s="117" t="s">
        <v>101</v>
      </c>
      <c r="K14" s="468" t="s">
        <v>720</v>
      </c>
      <c r="L14" s="69"/>
    </row>
    <row r="15" spans="2:15" x14ac:dyDescent="0.25">
      <c r="D15" s="167">
        <v>11</v>
      </c>
      <c r="E15" s="188" t="str">
        <f t="shared" si="1"/>
        <v>Kroatien</v>
      </c>
      <c r="F15" s="118" t="s">
        <v>41</v>
      </c>
      <c r="G15" s="119" t="s">
        <v>62</v>
      </c>
      <c r="H15" s="117" t="s">
        <v>77</v>
      </c>
      <c r="I15" s="120" t="s">
        <v>78</v>
      </c>
      <c r="J15" s="117" t="s">
        <v>108</v>
      </c>
      <c r="K15" s="468" t="s">
        <v>722</v>
      </c>
      <c r="L15" s="69"/>
    </row>
    <row r="16" spans="2:15" x14ac:dyDescent="0.25">
      <c r="D16" s="167">
        <v>12</v>
      </c>
      <c r="E16" s="188" t="str">
        <f t="shared" si="1"/>
        <v>Italien</v>
      </c>
      <c r="F16" s="118" t="s">
        <v>396</v>
      </c>
      <c r="G16" s="119" t="s">
        <v>435</v>
      </c>
      <c r="H16" s="117" t="s">
        <v>435</v>
      </c>
      <c r="I16" s="120" t="s">
        <v>436</v>
      </c>
      <c r="J16" s="117" t="s">
        <v>437</v>
      </c>
      <c r="K16" s="468" t="s">
        <v>812</v>
      </c>
      <c r="L16" s="69"/>
    </row>
    <row r="17" spans="4:12" x14ac:dyDescent="0.25">
      <c r="D17" s="167">
        <v>13</v>
      </c>
      <c r="E17" s="188" t="str">
        <f t="shared" si="1"/>
        <v>Kolumbien</v>
      </c>
      <c r="F17" s="118" t="s">
        <v>343</v>
      </c>
      <c r="G17" s="119" t="s">
        <v>343</v>
      </c>
      <c r="H17" s="117" t="s">
        <v>343</v>
      </c>
      <c r="I17" s="120" t="s">
        <v>344</v>
      </c>
      <c r="J17" s="117" t="s">
        <v>262</v>
      </c>
      <c r="K17" s="468" t="s">
        <v>343</v>
      </c>
      <c r="L17" s="69"/>
    </row>
    <row r="18" spans="4:12" x14ac:dyDescent="0.25">
      <c r="D18" s="167">
        <v>14</v>
      </c>
      <c r="E18" s="188" t="str">
        <f t="shared" si="1"/>
        <v>Senegal</v>
      </c>
      <c r="F18" s="118" t="s">
        <v>261</v>
      </c>
      <c r="G18" s="119" t="s">
        <v>261</v>
      </c>
      <c r="H18" s="117" t="s">
        <v>261</v>
      </c>
      <c r="I18" s="120" t="s">
        <v>342</v>
      </c>
      <c r="J18" s="117" t="s">
        <v>261</v>
      </c>
      <c r="K18" s="468" t="s">
        <v>261</v>
      </c>
      <c r="L18" s="69"/>
    </row>
    <row r="19" spans="4:12" x14ac:dyDescent="0.25">
      <c r="D19" s="167">
        <v>15</v>
      </c>
      <c r="E19" s="188" t="str">
        <f t="shared" si="1"/>
        <v>Mexiko</v>
      </c>
      <c r="F19" s="118" t="s">
        <v>334</v>
      </c>
      <c r="G19" s="119" t="s">
        <v>335</v>
      </c>
      <c r="H19" s="117" t="s">
        <v>336</v>
      </c>
      <c r="I19" s="120" t="s">
        <v>337</v>
      </c>
      <c r="J19" s="117" t="s">
        <v>258</v>
      </c>
      <c r="K19" s="468" t="s">
        <v>334</v>
      </c>
      <c r="L19" s="69"/>
    </row>
    <row r="20" spans="4:12" x14ac:dyDescent="0.25">
      <c r="D20" s="167">
        <v>16</v>
      </c>
      <c r="E20" s="188" t="str">
        <f t="shared" si="1"/>
        <v>USA</v>
      </c>
      <c r="F20" s="118" t="s">
        <v>442</v>
      </c>
      <c r="G20" s="119" t="s">
        <v>443</v>
      </c>
      <c r="H20" s="117" t="s">
        <v>442</v>
      </c>
      <c r="I20" s="120" t="s">
        <v>442</v>
      </c>
      <c r="J20" s="117" t="s">
        <v>442</v>
      </c>
      <c r="K20" s="468" t="s">
        <v>442</v>
      </c>
      <c r="L20" s="69"/>
    </row>
    <row r="21" spans="4:12" x14ac:dyDescent="0.25">
      <c r="D21" s="167">
        <v>17</v>
      </c>
      <c r="E21" s="188" t="str">
        <f t="shared" si="1"/>
        <v>Uruguay</v>
      </c>
      <c r="F21" s="118" t="s">
        <v>249</v>
      </c>
      <c r="G21" s="119" t="s">
        <v>249</v>
      </c>
      <c r="H21" s="117" t="s">
        <v>249</v>
      </c>
      <c r="I21" s="120" t="s">
        <v>249</v>
      </c>
      <c r="J21" s="117" t="s">
        <v>249</v>
      </c>
      <c r="K21" s="468" t="s">
        <v>249</v>
      </c>
      <c r="L21" s="69"/>
    </row>
    <row r="22" spans="4:12" x14ac:dyDescent="0.25">
      <c r="D22" s="167">
        <v>18</v>
      </c>
      <c r="E22" s="188" t="str">
        <f t="shared" si="1"/>
        <v>Japan</v>
      </c>
      <c r="F22" s="118" t="s">
        <v>263</v>
      </c>
      <c r="G22" s="119" t="s">
        <v>345</v>
      </c>
      <c r="H22" s="117" t="s">
        <v>346</v>
      </c>
      <c r="I22" s="120" t="s">
        <v>347</v>
      </c>
      <c r="J22" s="117" t="s">
        <v>263</v>
      </c>
      <c r="K22" s="468" t="s">
        <v>263</v>
      </c>
      <c r="L22" s="69"/>
    </row>
    <row r="23" spans="4:12" x14ac:dyDescent="0.25">
      <c r="D23" s="167">
        <v>19</v>
      </c>
      <c r="E23" s="188" t="str">
        <f t="shared" si="1"/>
        <v>Schweiz</v>
      </c>
      <c r="F23" s="118" t="s">
        <v>56</v>
      </c>
      <c r="G23" s="119" t="s">
        <v>57</v>
      </c>
      <c r="H23" s="117" t="s">
        <v>68</v>
      </c>
      <c r="I23" s="120" t="s">
        <v>69</v>
      </c>
      <c r="J23" s="117" t="s">
        <v>104</v>
      </c>
      <c r="K23" s="468" t="s">
        <v>721</v>
      </c>
      <c r="L23" s="69"/>
    </row>
    <row r="24" spans="4:12" x14ac:dyDescent="0.25">
      <c r="D24" s="167">
        <v>20</v>
      </c>
      <c r="E24" s="188" t="str">
        <f t="shared" si="1"/>
        <v>Dänemark</v>
      </c>
      <c r="F24" s="118" t="s">
        <v>43</v>
      </c>
      <c r="G24" s="119" t="s">
        <v>58</v>
      </c>
      <c r="H24" s="117" t="s">
        <v>70</v>
      </c>
      <c r="I24" s="120" t="s">
        <v>71</v>
      </c>
      <c r="J24" s="117" t="s">
        <v>105</v>
      </c>
      <c r="K24" s="468" t="s">
        <v>719</v>
      </c>
      <c r="L24" s="69"/>
    </row>
    <row r="25" spans="4:12" x14ac:dyDescent="0.25">
      <c r="D25" s="167">
        <v>21</v>
      </c>
      <c r="E25" s="188" t="str">
        <f t="shared" si="1"/>
        <v>IR Iran</v>
      </c>
      <c r="F25" s="118" t="s">
        <v>348</v>
      </c>
      <c r="G25" s="119" t="s">
        <v>1711</v>
      </c>
      <c r="H25" s="117" t="s">
        <v>348</v>
      </c>
      <c r="I25" s="120" t="s">
        <v>1710</v>
      </c>
      <c r="J25" s="117" t="s">
        <v>348</v>
      </c>
      <c r="K25" s="468" t="s">
        <v>348</v>
      </c>
      <c r="L25" s="69"/>
    </row>
    <row r="26" spans="4:12" x14ac:dyDescent="0.25">
      <c r="D26" s="167">
        <v>22</v>
      </c>
      <c r="E26" s="188" t="str">
        <f t="shared" si="1"/>
        <v>Türkei</v>
      </c>
      <c r="F26" s="118" t="s">
        <v>409</v>
      </c>
      <c r="G26" s="119" t="s">
        <v>471</v>
      </c>
      <c r="H26" s="117" t="s">
        <v>470</v>
      </c>
      <c r="I26" s="120" t="s">
        <v>469</v>
      </c>
      <c r="J26" s="117" t="s">
        <v>472</v>
      </c>
      <c r="K26" s="468" t="s">
        <v>734</v>
      </c>
      <c r="L26" s="69"/>
    </row>
    <row r="27" spans="4:12" x14ac:dyDescent="0.25">
      <c r="D27" s="167">
        <v>23</v>
      </c>
      <c r="E27" s="188" t="str">
        <f t="shared" si="1"/>
        <v>Ecuador</v>
      </c>
      <c r="F27" s="118" t="s">
        <v>401</v>
      </c>
      <c r="G27" s="119" t="s">
        <v>401</v>
      </c>
      <c r="H27" s="117" t="s">
        <v>401</v>
      </c>
      <c r="I27" s="120" t="s">
        <v>450</v>
      </c>
      <c r="J27" s="117" t="s">
        <v>401</v>
      </c>
      <c r="K27" s="468" t="s">
        <v>401</v>
      </c>
      <c r="L27" s="69"/>
    </row>
    <row r="28" spans="4:12" x14ac:dyDescent="0.25">
      <c r="D28" s="167">
        <v>24</v>
      </c>
      <c r="E28" s="188" t="str">
        <f t="shared" si="1"/>
        <v>Österreich</v>
      </c>
      <c r="F28" s="118" t="s">
        <v>408</v>
      </c>
      <c r="G28" s="119" t="s">
        <v>408</v>
      </c>
      <c r="H28" s="117" t="s">
        <v>408</v>
      </c>
      <c r="I28" s="120" t="s">
        <v>467</v>
      </c>
      <c r="J28" s="117" t="s">
        <v>468</v>
      </c>
      <c r="K28" s="468" t="s">
        <v>726</v>
      </c>
      <c r="L28" s="69"/>
    </row>
    <row r="29" spans="4:12" x14ac:dyDescent="0.25">
      <c r="D29" s="167">
        <v>25</v>
      </c>
      <c r="E29" s="188" t="str">
        <f t="shared" si="1"/>
        <v>Südkorea</v>
      </c>
      <c r="F29" s="118" t="s">
        <v>1850</v>
      </c>
      <c r="G29" s="119" t="s">
        <v>1851</v>
      </c>
      <c r="H29" s="117" t="s">
        <v>1852</v>
      </c>
      <c r="I29" s="120" t="s">
        <v>1853</v>
      </c>
      <c r="J29" s="117" t="s">
        <v>1854</v>
      </c>
      <c r="K29" s="468" t="s">
        <v>1855</v>
      </c>
      <c r="L29" s="69"/>
    </row>
    <row r="30" spans="4:12" x14ac:dyDescent="0.25">
      <c r="D30" s="167">
        <v>26</v>
      </c>
      <c r="E30" s="188" t="str">
        <f t="shared" si="1"/>
        <v>Nigeria</v>
      </c>
      <c r="F30" s="118" t="s">
        <v>255</v>
      </c>
      <c r="G30" s="119" t="s">
        <v>255</v>
      </c>
      <c r="H30" s="117" t="s">
        <v>255</v>
      </c>
      <c r="I30" s="120" t="s">
        <v>255</v>
      </c>
      <c r="J30" s="117" t="s">
        <v>255</v>
      </c>
      <c r="K30" s="468" t="s">
        <v>255</v>
      </c>
      <c r="L30" s="69"/>
    </row>
    <row r="31" spans="4:12" x14ac:dyDescent="0.25">
      <c r="D31" s="167">
        <v>27</v>
      </c>
      <c r="E31" s="188" t="str">
        <f t="shared" si="1"/>
        <v>Australien</v>
      </c>
      <c r="F31" s="118" t="s">
        <v>318</v>
      </c>
      <c r="G31" s="119" t="s">
        <v>318</v>
      </c>
      <c r="H31" s="117" t="s">
        <v>318</v>
      </c>
      <c r="I31" s="120" t="s">
        <v>319</v>
      </c>
      <c r="J31" s="117" t="s">
        <v>251</v>
      </c>
      <c r="K31" s="468" t="s">
        <v>733</v>
      </c>
      <c r="L31" s="69"/>
    </row>
    <row r="32" spans="4:12" x14ac:dyDescent="0.25">
      <c r="D32" s="167">
        <v>28</v>
      </c>
      <c r="E32" s="188" t="str">
        <f t="shared" si="1"/>
        <v>Algerien</v>
      </c>
      <c r="F32" s="118" t="s">
        <v>403</v>
      </c>
      <c r="G32" s="119" t="s">
        <v>455</v>
      </c>
      <c r="H32" s="117" t="s">
        <v>403</v>
      </c>
      <c r="I32" s="120" t="s">
        <v>453</v>
      </c>
      <c r="J32" s="117" t="s">
        <v>454</v>
      </c>
      <c r="K32" s="468" t="s">
        <v>735</v>
      </c>
      <c r="L32" s="69"/>
    </row>
    <row r="33" spans="4:12" x14ac:dyDescent="0.25">
      <c r="D33" s="167">
        <v>29</v>
      </c>
      <c r="E33" s="188" t="str">
        <f t="shared" si="1"/>
        <v>Ägypten</v>
      </c>
      <c r="F33" s="118" t="s">
        <v>310</v>
      </c>
      <c r="G33" s="119" t="s">
        <v>311</v>
      </c>
      <c r="H33" s="117" t="s">
        <v>312</v>
      </c>
      <c r="I33" s="120" t="s">
        <v>313</v>
      </c>
      <c r="J33" s="117" t="s">
        <v>248</v>
      </c>
      <c r="K33" s="468" t="s">
        <v>313</v>
      </c>
      <c r="L33" s="69"/>
    </row>
    <row r="34" spans="4:12" x14ac:dyDescent="0.25">
      <c r="D34" s="167">
        <v>30</v>
      </c>
      <c r="E34" s="188" t="str">
        <f t="shared" si="1"/>
        <v>Kanada</v>
      </c>
      <c r="F34" s="118" t="s">
        <v>405</v>
      </c>
      <c r="G34" s="119" t="s">
        <v>460</v>
      </c>
      <c r="H34" s="117" t="s">
        <v>405</v>
      </c>
      <c r="I34" s="120" t="s">
        <v>405</v>
      </c>
      <c r="J34" s="117" t="s">
        <v>461</v>
      </c>
      <c r="K34" s="468" t="s">
        <v>405</v>
      </c>
      <c r="L34" s="69"/>
    </row>
    <row r="35" spans="4:12" x14ac:dyDescent="0.25">
      <c r="D35" s="167">
        <v>31</v>
      </c>
      <c r="E35" s="188" t="str">
        <f t="shared" si="1"/>
        <v>Norwegen</v>
      </c>
      <c r="F35" s="118" t="s">
        <v>404</v>
      </c>
      <c r="G35" s="119" t="s">
        <v>456</v>
      </c>
      <c r="H35" s="117" t="s">
        <v>457</v>
      </c>
      <c r="I35" s="120" t="s">
        <v>458</v>
      </c>
      <c r="J35" s="117" t="s">
        <v>459</v>
      </c>
      <c r="K35" s="468" t="s">
        <v>732</v>
      </c>
      <c r="L35" s="69"/>
    </row>
    <row r="36" spans="4:12" x14ac:dyDescent="0.25">
      <c r="D36" s="167">
        <v>32</v>
      </c>
      <c r="E36" s="188" t="str">
        <f t="shared" si="1"/>
        <v>Ukraine</v>
      </c>
      <c r="F36" s="118" t="s">
        <v>400</v>
      </c>
      <c r="G36" s="119" t="s">
        <v>449</v>
      </c>
      <c r="H36" s="117" t="s">
        <v>448</v>
      </c>
      <c r="I36" s="120" t="s">
        <v>400</v>
      </c>
      <c r="J36" s="117" t="s">
        <v>400</v>
      </c>
      <c r="K36" s="468" t="s">
        <v>725</v>
      </c>
      <c r="L36" s="69"/>
    </row>
    <row r="37" spans="4:12" x14ac:dyDescent="0.25">
      <c r="D37" s="167">
        <v>33</v>
      </c>
      <c r="E37" s="188" t="str">
        <f t="shared" si="1"/>
        <v>Panama</v>
      </c>
      <c r="F37" s="118" t="s">
        <v>259</v>
      </c>
      <c r="G37" s="119" t="s">
        <v>338</v>
      </c>
      <c r="H37" s="117" t="s">
        <v>259</v>
      </c>
      <c r="I37" s="120" t="s">
        <v>259</v>
      </c>
      <c r="J37" s="117" t="s">
        <v>259</v>
      </c>
      <c r="K37" s="468" t="s">
        <v>259</v>
      </c>
      <c r="L37" s="69"/>
    </row>
    <row r="38" spans="4:12" x14ac:dyDescent="0.25">
      <c r="D38" s="167">
        <v>34</v>
      </c>
      <c r="E38" s="188" t="str">
        <f t="shared" si="1"/>
        <v>Elfenbeinküste</v>
      </c>
      <c r="F38" s="118" t="s">
        <v>417</v>
      </c>
      <c r="G38" s="119" t="s">
        <v>492</v>
      </c>
      <c r="H38" s="117" t="s">
        <v>491</v>
      </c>
      <c r="I38" s="120" t="s">
        <v>493</v>
      </c>
      <c r="J38" s="117" t="s">
        <v>494</v>
      </c>
      <c r="K38" s="468" t="s">
        <v>738</v>
      </c>
      <c r="L38" s="69"/>
    </row>
    <row r="39" spans="4:12" x14ac:dyDescent="0.25">
      <c r="D39" s="167">
        <v>35</v>
      </c>
      <c r="E39" s="188" t="str">
        <f t="shared" si="1"/>
        <v>Polen</v>
      </c>
      <c r="F39" s="118" t="s">
        <v>40</v>
      </c>
      <c r="G39" s="119" t="s">
        <v>63</v>
      </c>
      <c r="H39" s="117" t="s">
        <v>63</v>
      </c>
      <c r="I39" s="120" t="s">
        <v>79</v>
      </c>
      <c r="J39" s="117" t="s">
        <v>99</v>
      </c>
      <c r="K39" s="468" t="s">
        <v>99</v>
      </c>
      <c r="L39" s="69"/>
    </row>
    <row r="40" spans="4:12" x14ac:dyDescent="0.25">
      <c r="D40" s="167">
        <v>36</v>
      </c>
      <c r="E40" s="188" t="str">
        <f t="shared" si="1"/>
        <v>Russland</v>
      </c>
      <c r="F40" s="118" t="s">
        <v>42</v>
      </c>
      <c r="G40" s="119" t="s">
        <v>60</v>
      </c>
      <c r="H40" s="117" t="s">
        <v>42</v>
      </c>
      <c r="I40" s="120" t="s">
        <v>74</v>
      </c>
      <c r="J40" s="117" t="s">
        <v>107</v>
      </c>
      <c r="K40" s="468" t="s">
        <v>728</v>
      </c>
      <c r="L40" s="69"/>
    </row>
    <row r="41" spans="4:12" x14ac:dyDescent="0.25">
      <c r="D41" s="167">
        <v>37</v>
      </c>
      <c r="E41" s="188" t="str">
        <f t="shared" si="1"/>
        <v>Wales</v>
      </c>
      <c r="F41" s="118" t="s">
        <v>398</v>
      </c>
      <c r="G41" s="119" t="s">
        <v>447</v>
      </c>
      <c r="H41" s="117" t="s">
        <v>446</v>
      </c>
      <c r="I41" s="120" t="s">
        <v>445</v>
      </c>
      <c r="J41" s="117" t="s">
        <v>398</v>
      </c>
      <c r="K41" s="468" t="s">
        <v>398</v>
      </c>
      <c r="L41" s="69"/>
    </row>
    <row r="42" spans="4:12" x14ac:dyDescent="0.25">
      <c r="D42" s="167">
        <v>38</v>
      </c>
      <c r="E42" s="188" t="str">
        <f t="shared" si="1"/>
        <v>Schweden</v>
      </c>
      <c r="F42" s="118" t="s">
        <v>44</v>
      </c>
      <c r="G42" s="119" t="s">
        <v>65</v>
      </c>
      <c r="H42" s="117" t="s">
        <v>82</v>
      </c>
      <c r="I42" s="120" t="s">
        <v>83</v>
      </c>
      <c r="J42" s="117" t="s">
        <v>103</v>
      </c>
      <c r="K42" s="468" t="s">
        <v>723</v>
      </c>
      <c r="L42" s="69"/>
    </row>
    <row r="43" spans="4:12" x14ac:dyDescent="0.25">
      <c r="D43" s="167">
        <v>39</v>
      </c>
      <c r="E43" s="188" t="str">
        <f t="shared" si="1"/>
        <v>Serbien</v>
      </c>
      <c r="F43" s="118" t="s">
        <v>332</v>
      </c>
      <c r="G43" s="119" t="s">
        <v>332</v>
      </c>
      <c r="H43" s="117" t="s">
        <v>332</v>
      </c>
      <c r="I43" s="120" t="s">
        <v>333</v>
      </c>
      <c r="J43" s="117" t="s">
        <v>257</v>
      </c>
      <c r="K43" s="468" t="s">
        <v>724</v>
      </c>
      <c r="L43" s="69"/>
    </row>
    <row r="44" spans="4:12" x14ac:dyDescent="0.25">
      <c r="D44" s="167">
        <v>40</v>
      </c>
      <c r="E44" s="188" t="str">
        <f t="shared" si="1"/>
        <v>Paraguay</v>
      </c>
      <c r="F44" s="118" t="s">
        <v>399</v>
      </c>
      <c r="G44" s="119" t="s">
        <v>399</v>
      </c>
      <c r="H44" s="117" t="s">
        <v>399</v>
      </c>
      <c r="I44" s="120" t="s">
        <v>399</v>
      </c>
      <c r="J44" s="117" t="s">
        <v>399</v>
      </c>
      <c r="K44" s="468" t="s">
        <v>399</v>
      </c>
      <c r="L44" s="69"/>
    </row>
    <row r="45" spans="4:12" x14ac:dyDescent="0.25">
      <c r="D45" s="167">
        <v>41</v>
      </c>
      <c r="E45" s="188" t="str">
        <f t="shared" si="1"/>
        <v>Tschechien</v>
      </c>
      <c r="F45" s="118" t="s">
        <v>1844</v>
      </c>
      <c r="G45" s="119" t="s">
        <v>1845</v>
      </c>
      <c r="H45" s="117" t="s">
        <v>1846</v>
      </c>
      <c r="I45" s="120" t="s">
        <v>1847</v>
      </c>
      <c r="J45" s="117" t="s">
        <v>1848</v>
      </c>
      <c r="K45" s="468" t="s">
        <v>1849</v>
      </c>
      <c r="L45" s="69"/>
    </row>
    <row r="46" spans="4:12" x14ac:dyDescent="0.25">
      <c r="D46" s="167">
        <v>42</v>
      </c>
      <c r="E46" s="188" t="str">
        <f t="shared" si="1"/>
        <v>Ungarn</v>
      </c>
      <c r="F46" s="118" t="s">
        <v>407</v>
      </c>
      <c r="G46" s="119" t="s">
        <v>466</v>
      </c>
      <c r="H46" s="117" t="s">
        <v>465</v>
      </c>
      <c r="I46" s="120" t="s">
        <v>463</v>
      </c>
      <c r="J46" s="117" t="s">
        <v>464</v>
      </c>
      <c r="K46" s="468" t="s">
        <v>731</v>
      </c>
      <c r="L46" s="69"/>
    </row>
    <row r="47" spans="4:12" x14ac:dyDescent="0.25">
      <c r="D47" s="167">
        <v>43</v>
      </c>
      <c r="E47" s="188" t="str">
        <f t="shared" si="1"/>
        <v>Schottland</v>
      </c>
      <c r="F47" s="118" t="s">
        <v>415</v>
      </c>
      <c r="G47" s="119" t="s">
        <v>489</v>
      </c>
      <c r="H47" s="117" t="s">
        <v>488</v>
      </c>
      <c r="I47" s="120" t="s">
        <v>486</v>
      </c>
      <c r="J47" s="117" t="s">
        <v>487</v>
      </c>
      <c r="K47" s="468" t="s">
        <v>730</v>
      </c>
      <c r="L47" s="69"/>
    </row>
    <row r="48" spans="4:12" x14ac:dyDescent="0.25">
      <c r="D48" s="167">
        <v>44</v>
      </c>
      <c r="E48" s="188" t="str">
        <f t="shared" si="1"/>
        <v>Tunesien</v>
      </c>
      <c r="F48" s="118" t="s">
        <v>339</v>
      </c>
      <c r="G48" s="119" t="s">
        <v>340</v>
      </c>
      <c r="H48" s="117" t="s">
        <v>339</v>
      </c>
      <c r="I48" s="120" t="s">
        <v>341</v>
      </c>
      <c r="J48" s="117" t="s">
        <v>260</v>
      </c>
      <c r="K48" s="468" t="s">
        <v>727</v>
      </c>
      <c r="L48" s="69"/>
    </row>
    <row r="49" spans="4:12" x14ac:dyDescent="0.25">
      <c r="D49" s="167">
        <v>45</v>
      </c>
      <c r="E49" s="188" t="str">
        <f t="shared" si="1"/>
        <v>Kamerun</v>
      </c>
      <c r="F49" s="118" t="s">
        <v>426</v>
      </c>
      <c r="G49" s="119" t="s">
        <v>507</v>
      </c>
      <c r="H49" s="117" t="s">
        <v>509</v>
      </c>
      <c r="I49" s="120" t="s">
        <v>508</v>
      </c>
      <c r="J49" s="117" t="s">
        <v>510</v>
      </c>
      <c r="K49" s="468" t="s">
        <v>729</v>
      </c>
      <c r="L49" s="69"/>
    </row>
    <row r="50" spans="4:12" x14ac:dyDescent="0.25">
      <c r="D50" s="167">
        <v>46</v>
      </c>
      <c r="E50" s="188" t="str">
        <f t="shared" si="1"/>
        <v>DR Kongo</v>
      </c>
      <c r="F50" s="118" t="s">
        <v>1836</v>
      </c>
      <c r="G50" s="119" t="s">
        <v>1837</v>
      </c>
      <c r="H50" s="117" t="s">
        <v>1837</v>
      </c>
      <c r="I50" s="120" t="s">
        <v>1837</v>
      </c>
      <c r="J50" s="117" t="s">
        <v>1705</v>
      </c>
      <c r="K50" s="468" t="s">
        <v>1836</v>
      </c>
      <c r="L50" s="69"/>
    </row>
    <row r="51" spans="4:12" x14ac:dyDescent="0.25">
      <c r="D51" s="167">
        <v>47</v>
      </c>
      <c r="E51" s="188" t="str">
        <f t="shared" si="1"/>
        <v>Griechenland</v>
      </c>
      <c r="F51" s="118" t="s">
        <v>411</v>
      </c>
      <c r="G51" s="119" t="s">
        <v>478</v>
      </c>
      <c r="H51" s="117" t="s">
        <v>478</v>
      </c>
      <c r="I51" s="120" t="s">
        <v>476</v>
      </c>
      <c r="J51" s="117" t="s">
        <v>477</v>
      </c>
      <c r="K51" s="468" t="s">
        <v>740</v>
      </c>
      <c r="L51" s="69"/>
    </row>
    <row r="52" spans="4:12" x14ac:dyDescent="0.25">
      <c r="D52" s="167">
        <v>48</v>
      </c>
      <c r="E52" s="188" t="str">
        <f t="shared" si="1"/>
        <v>Slowakei</v>
      </c>
      <c r="F52" s="118" t="s">
        <v>414</v>
      </c>
      <c r="G52" s="119" t="s">
        <v>482</v>
      </c>
      <c r="H52" s="117" t="s">
        <v>483</v>
      </c>
      <c r="I52" s="120" t="s">
        <v>484</v>
      </c>
      <c r="J52" s="117" t="s">
        <v>485</v>
      </c>
      <c r="K52" s="468" t="s">
        <v>736</v>
      </c>
      <c r="L52" s="69"/>
    </row>
    <row r="53" spans="4:12" x14ac:dyDescent="0.25">
      <c r="D53" s="167">
        <v>49</v>
      </c>
      <c r="E53" s="188" t="str">
        <f t="shared" si="1"/>
        <v>Venezuela</v>
      </c>
      <c r="F53" s="118" t="s">
        <v>406</v>
      </c>
      <c r="G53" s="119" t="s">
        <v>406</v>
      </c>
      <c r="H53" s="117" t="s">
        <v>406</v>
      </c>
      <c r="I53" s="120" t="s">
        <v>406</v>
      </c>
      <c r="J53" s="117" t="s">
        <v>406</v>
      </c>
      <c r="K53" s="468" t="s">
        <v>406</v>
      </c>
      <c r="L53" s="69"/>
    </row>
    <row r="54" spans="4:12" x14ac:dyDescent="0.25">
      <c r="D54" s="167">
        <v>50</v>
      </c>
      <c r="E54" s="188" t="str">
        <f t="shared" si="1"/>
        <v>Usbekistan</v>
      </c>
      <c r="F54" s="118" t="s">
        <v>428</v>
      </c>
      <c r="G54" s="119" t="s">
        <v>511</v>
      </c>
      <c r="H54" s="117" t="s">
        <v>428</v>
      </c>
      <c r="I54" s="120" t="s">
        <v>513</v>
      </c>
      <c r="J54" s="117" t="s">
        <v>514</v>
      </c>
      <c r="K54" s="468" t="s">
        <v>747</v>
      </c>
      <c r="L54" s="69"/>
    </row>
    <row r="55" spans="4:12" x14ac:dyDescent="0.25">
      <c r="D55" s="167">
        <v>51</v>
      </c>
      <c r="E55" s="188" t="str">
        <f t="shared" si="1"/>
        <v>Costa Rica</v>
      </c>
      <c r="F55" s="118" t="s">
        <v>256</v>
      </c>
      <c r="G55" s="119" t="s">
        <v>256</v>
      </c>
      <c r="H55" s="117" t="s">
        <v>256</v>
      </c>
      <c r="I55" s="120" t="s">
        <v>256</v>
      </c>
      <c r="J55" s="117" t="s">
        <v>256</v>
      </c>
      <c r="K55" s="468" t="s">
        <v>256</v>
      </c>
      <c r="L55" s="69"/>
    </row>
    <row r="56" spans="4:12" x14ac:dyDescent="0.25">
      <c r="D56" s="167">
        <v>52</v>
      </c>
      <c r="E56" s="188" t="str">
        <f t="shared" si="1"/>
        <v>Mali</v>
      </c>
      <c r="F56" s="118" t="s">
        <v>427</v>
      </c>
      <c r="G56" s="119" t="s">
        <v>427</v>
      </c>
      <c r="H56" s="117" t="s">
        <v>427</v>
      </c>
      <c r="I56" s="120" t="s">
        <v>427</v>
      </c>
      <c r="J56" s="117" t="s">
        <v>427</v>
      </c>
      <c r="K56" s="468" t="s">
        <v>427</v>
      </c>
      <c r="L56" s="69"/>
    </row>
    <row r="57" spans="4:12" x14ac:dyDescent="0.25">
      <c r="D57" s="167">
        <v>53</v>
      </c>
      <c r="E57" s="188" t="str">
        <f t="shared" si="1"/>
        <v>Peru</v>
      </c>
      <c r="F57" s="118" t="s">
        <v>252</v>
      </c>
      <c r="G57" s="119" t="s">
        <v>320</v>
      </c>
      <c r="H57" s="117" t="s">
        <v>321</v>
      </c>
      <c r="I57" s="120" t="s">
        <v>322</v>
      </c>
      <c r="J57" s="117" t="s">
        <v>252</v>
      </c>
      <c r="K57" s="468" t="s">
        <v>252</v>
      </c>
      <c r="L57" s="69"/>
    </row>
    <row r="58" spans="4:12" x14ac:dyDescent="0.25">
      <c r="D58" s="167">
        <v>54</v>
      </c>
      <c r="E58" s="188" t="str">
        <f t="shared" si="1"/>
        <v>Chile</v>
      </c>
      <c r="F58" s="118" t="s">
        <v>402</v>
      </c>
      <c r="G58" s="119" t="s">
        <v>402</v>
      </c>
      <c r="H58" s="117" t="s">
        <v>452</v>
      </c>
      <c r="I58" s="120" t="s">
        <v>451</v>
      </c>
      <c r="J58" s="117" t="s">
        <v>402</v>
      </c>
      <c r="K58" s="468" t="s">
        <v>451</v>
      </c>
      <c r="L58" s="69"/>
    </row>
    <row r="59" spans="4:12" x14ac:dyDescent="0.25">
      <c r="D59" s="167">
        <v>55</v>
      </c>
      <c r="E59" s="188" t="str">
        <f t="shared" si="1"/>
        <v>Katar</v>
      </c>
      <c r="F59" s="118" t="s">
        <v>412</v>
      </c>
      <c r="G59" s="119" t="s">
        <v>412</v>
      </c>
      <c r="H59" s="117" t="s">
        <v>412</v>
      </c>
      <c r="I59" s="120" t="s">
        <v>412</v>
      </c>
      <c r="J59" s="117" t="s">
        <v>462</v>
      </c>
      <c r="K59" s="468" t="s">
        <v>412</v>
      </c>
      <c r="L59" s="69"/>
    </row>
    <row r="60" spans="4:12" x14ac:dyDescent="0.25">
      <c r="D60" s="167">
        <v>56</v>
      </c>
      <c r="E60" s="188" t="str">
        <f t="shared" si="1"/>
        <v>Rumänien</v>
      </c>
      <c r="F60" s="118" t="s">
        <v>413</v>
      </c>
      <c r="G60" s="119" t="s">
        <v>480</v>
      </c>
      <c r="H60" s="117" t="s">
        <v>413</v>
      </c>
      <c r="I60" s="120" t="s">
        <v>479</v>
      </c>
      <c r="J60" s="117" t="s">
        <v>481</v>
      </c>
      <c r="K60" s="468" t="s">
        <v>737</v>
      </c>
      <c r="L60" s="69"/>
    </row>
    <row r="61" spans="4:12" x14ac:dyDescent="0.25">
      <c r="D61" s="167">
        <v>57</v>
      </c>
      <c r="E61" s="188" t="str">
        <f t="shared" si="1"/>
        <v>Irak</v>
      </c>
      <c r="F61" s="118" t="s">
        <v>418</v>
      </c>
      <c r="G61" s="119" t="s">
        <v>418</v>
      </c>
      <c r="H61" s="117" t="s">
        <v>418</v>
      </c>
      <c r="I61" s="120" t="s">
        <v>495</v>
      </c>
      <c r="J61" s="117" t="s">
        <v>495</v>
      </c>
      <c r="K61" s="468" t="s">
        <v>495</v>
      </c>
      <c r="L61" s="69"/>
    </row>
    <row r="62" spans="4:12" x14ac:dyDescent="0.25">
      <c r="D62" s="167">
        <v>58</v>
      </c>
      <c r="E62" s="188" t="str">
        <f t="shared" si="1"/>
        <v>Slowenien</v>
      </c>
      <c r="F62" s="118" t="s">
        <v>419</v>
      </c>
      <c r="G62" s="119" t="s">
        <v>496</v>
      </c>
      <c r="H62" s="117" t="s">
        <v>419</v>
      </c>
      <c r="I62" s="120" t="s">
        <v>497</v>
      </c>
      <c r="J62" s="117" t="s">
        <v>498</v>
      </c>
      <c r="K62" s="468" t="s">
        <v>742</v>
      </c>
      <c r="L62" s="69"/>
    </row>
    <row r="63" spans="4:12" x14ac:dyDescent="0.25">
      <c r="D63" s="167">
        <v>59</v>
      </c>
      <c r="E63" s="188" t="str">
        <f t="shared" si="1"/>
        <v>Republik Irland</v>
      </c>
      <c r="F63" s="118"/>
      <c r="G63" s="119"/>
      <c r="H63" s="117"/>
      <c r="I63" s="120"/>
      <c r="J63" s="117" t="s">
        <v>1704</v>
      </c>
      <c r="K63" s="468"/>
      <c r="L63" s="69"/>
    </row>
    <row r="64" spans="4:12" x14ac:dyDescent="0.25">
      <c r="D64" s="167">
        <v>60</v>
      </c>
      <c r="E64" s="188" t="str">
        <f t="shared" si="1"/>
        <v>Südafrika</v>
      </c>
      <c r="F64" s="118" t="s">
        <v>431</v>
      </c>
      <c r="G64" s="119" t="s">
        <v>522</v>
      </c>
      <c r="H64" s="117" t="s">
        <v>521</v>
      </c>
      <c r="I64" s="120" t="s">
        <v>520</v>
      </c>
      <c r="J64" s="117" t="s">
        <v>523</v>
      </c>
      <c r="K64" s="468" t="s">
        <v>744</v>
      </c>
      <c r="L64" s="69"/>
    </row>
    <row r="65" spans="4:12" x14ac:dyDescent="0.25">
      <c r="D65" s="167">
        <v>61</v>
      </c>
      <c r="E65" s="188" t="str">
        <f t="shared" si="1"/>
        <v>Saudiarabien</v>
      </c>
      <c r="F65" s="118" t="s">
        <v>1722</v>
      </c>
      <c r="G65" s="119" t="s">
        <v>1721</v>
      </c>
      <c r="H65" s="117" t="s">
        <v>1721</v>
      </c>
      <c r="I65" s="120" t="s">
        <v>1720</v>
      </c>
      <c r="J65" s="117" t="s">
        <v>1703</v>
      </c>
      <c r="K65" s="468" t="s">
        <v>1719</v>
      </c>
      <c r="L65" s="69"/>
    </row>
    <row r="66" spans="4:12" x14ac:dyDescent="0.25">
      <c r="D66" s="167">
        <v>62</v>
      </c>
      <c r="E66" s="188" t="str">
        <f t="shared" si="1"/>
        <v>Burkina Faso</v>
      </c>
      <c r="F66" s="118" t="s">
        <v>425</v>
      </c>
      <c r="G66" s="119" t="s">
        <v>425</v>
      </c>
      <c r="H66" s="117" t="s">
        <v>425</v>
      </c>
      <c r="I66" s="120" t="s">
        <v>425</v>
      </c>
      <c r="J66" s="117" t="s">
        <v>425</v>
      </c>
      <c r="K66" s="468" t="s">
        <v>425</v>
      </c>
      <c r="L66" s="69"/>
    </row>
    <row r="67" spans="4:12" x14ac:dyDescent="0.25">
      <c r="D67" s="167">
        <v>63</v>
      </c>
      <c r="E67" s="188" t="str">
        <f t="shared" si="1"/>
        <v>Jordanien</v>
      </c>
      <c r="F67" s="118" t="s">
        <v>1714</v>
      </c>
      <c r="G67" s="119" t="s">
        <v>1715</v>
      </c>
      <c r="H67" s="117" t="s">
        <v>1716</v>
      </c>
      <c r="I67" s="120" t="s">
        <v>1717</v>
      </c>
      <c r="J67" s="117" t="s">
        <v>1706</v>
      </c>
      <c r="K67" s="468" t="s">
        <v>1718</v>
      </c>
      <c r="L67" s="69"/>
    </row>
    <row r="68" spans="4:12" x14ac:dyDescent="0.25">
      <c r="D68" s="167">
        <v>64</v>
      </c>
      <c r="E68" s="188" t="str">
        <f t="shared" si="1"/>
        <v>Albanien</v>
      </c>
      <c r="F68" s="118" t="s">
        <v>424</v>
      </c>
      <c r="G68" s="119" t="s">
        <v>424</v>
      </c>
      <c r="H68" s="117" t="s">
        <v>424</v>
      </c>
      <c r="I68" s="120" t="s">
        <v>504</v>
      </c>
      <c r="J68" s="117" t="s">
        <v>506</v>
      </c>
      <c r="K68" s="468" t="s">
        <v>743</v>
      </c>
      <c r="L68" s="69"/>
    </row>
    <row r="69" spans="4:12" x14ac:dyDescent="0.25">
      <c r="D69" s="167">
        <v>65</v>
      </c>
      <c r="E69" s="188" t="str">
        <f t="shared" si="1"/>
        <v>Bosnien/Herzeg.</v>
      </c>
      <c r="F69" s="118" t="s">
        <v>1839</v>
      </c>
      <c r="G69" s="119" t="s">
        <v>1839</v>
      </c>
      <c r="H69" s="117" t="s">
        <v>1840</v>
      </c>
      <c r="I69" s="120" t="s">
        <v>1841</v>
      </c>
      <c r="J69" s="117" t="s">
        <v>1842</v>
      </c>
      <c r="K69" s="468" t="s">
        <v>1843</v>
      </c>
      <c r="L69" s="69"/>
    </row>
    <row r="70" spans="4:12" x14ac:dyDescent="0.25">
      <c r="D70" s="167">
        <v>66</v>
      </c>
      <c r="E70" s="188" t="str">
        <f t="shared" ref="E70:E100" si="2">IF($C$3,F70,IF($C$4,G70,IF($C$5,H70,IF($C$6,I70,IF($C$7,J70,IF($C$8,K70,IF(L70&lt;&gt;"",L70,F70)))))))</f>
        <v>Honduras</v>
      </c>
      <c r="F70" s="118" t="s">
        <v>423</v>
      </c>
      <c r="G70" s="119" t="s">
        <v>423</v>
      </c>
      <c r="H70" s="117" t="s">
        <v>423</v>
      </c>
      <c r="I70" s="120" t="s">
        <v>423</v>
      </c>
      <c r="J70" s="117" t="s">
        <v>423</v>
      </c>
      <c r="K70" s="468" t="s">
        <v>423</v>
      </c>
      <c r="L70" s="69"/>
    </row>
    <row r="71" spans="4:12" x14ac:dyDescent="0.25">
      <c r="D71" s="167">
        <v>67</v>
      </c>
      <c r="E71" s="188" t="str">
        <f t="shared" si="2"/>
        <v>Nordmazedonien</v>
      </c>
      <c r="F71" s="118"/>
      <c r="G71" s="119"/>
      <c r="H71" s="117"/>
      <c r="I71" s="120"/>
      <c r="J71" s="117" t="s">
        <v>882</v>
      </c>
      <c r="K71" s="468"/>
      <c r="L71" s="69"/>
    </row>
    <row r="72" spans="4:12" x14ac:dyDescent="0.25">
      <c r="D72" s="167">
        <v>68</v>
      </c>
      <c r="E72" s="188" t="str">
        <f t="shared" si="2"/>
        <v>Vereinigte Arabische Emirate</v>
      </c>
      <c r="F72" s="118"/>
      <c r="G72" s="119"/>
      <c r="H72" s="117"/>
      <c r="I72" s="120"/>
      <c r="J72" s="117" t="s">
        <v>1707</v>
      </c>
      <c r="K72" s="468"/>
      <c r="L72" s="69"/>
    </row>
    <row r="73" spans="4:12" x14ac:dyDescent="0.25">
      <c r="D73" s="167">
        <v>69</v>
      </c>
      <c r="E73" s="188" t="str">
        <f t="shared" si="2"/>
        <v>Kap Verde</v>
      </c>
      <c r="F73" s="118" t="s">
        <v>1723</v>
      </c>
      <c r="G73" s="119" t="s">
        <v>1724</v>
      </c>
      <c r="H73" s="117" t="s">
        <v>1725</v>
      </c>
      <c r="I73" s="120" t="s">
        <v>1726</v>
      </c>
      <c r="J73" s="117" t="s">
        <v>883</v>
      </c>
      <c r="K73" s="468" t="s">
        <v>1727</v>
      </c>
      <c r="L73" s="69"/>
    </row>
    <row r="74" spans="4:12" x14ac:dyDescent="0.25">
      <c r="D74" s="167">
        <v>70</v>
      </c>
      <c r="E74" s="188" t="str">
        <f t="shared" si="2"/>
        <v>Nordirland</v>
      </c>
      <c r="F74" s="118" t="s">
        <v>420</v>
      </c>
      <c r="G74" s="119" t="s">
        <v>502</v>
      </c>
      <c r="H74" s="117" t="s">
        <v>501</v>
      </c>
      <c r="I74" s="120" t="s">
        <v>500</v>
      </c>
      <c r="J74" s="117" t="s">
        <v>499</v>
      </c>
      <c r="K74" s="468" t="s">
        <v>739</v>
      </c>
      <c r="L74" s="69"/>
    </row>
    <row r="75" spans="4:12" x14ac:dyDescent="0.25">
      <c r="D75" s="167">
        <v>71</v>
      </c>
      <c r="E75" s="188" t="str">
        <f t="shared" si="2"/>
        <v>Jamaika</v>
      </c>
      <c r="F75" s="118" t="s">
        <v>430</v>
      </c>
      <c r="G75" s="119" t="s">
        <v>430</v>
      </c>
      <c r="H75" s="117" t="s">
        <v>517</v>
      </c>
      <c r="I75" s="120" t="s">
        <v>518</v>
      </c>
      <c r="J75" s="117" t="s">
        <v>519</v>
      </c>
      <c r="K75" s="468" t="s">
        <v>430</v>
      </c>
      <c r="L75" s="69"/>
    </row>
    <row r="76" spans="4:12" x14ac:dyDescent="0.25">
      <c r="D76" s="167">
        <v>72</v>
      </c>
      <c r="E76" s="188" t="str">
        <f t="shared" si="2"/>
        <v>Georgien</v>
      </c>
      <c r="F76" s="118" t="s">
        <v>434</v>
      </c>
      <c r="G76" s="119" t="s">
        <v>434</v>
      </c>
      <c r="H76" s="117" t="s">
        <v>434</v>
      </c>
      <c r="I76" s="120" t="s">
        <v>525</v>
      </c>
      <c r="J76" s="117" t="s">
        <v>526</v>
      </c>
      <c r="K76" s="468" t="s">
        <v>748</v>
      </c>
      <c r="L76" s="69"/>
    </row>
    <row r="77" spans="4:12" x14ac:dyDescent="0.25">
      <c r="D77" s="167">
        <v>73</v>
      </c>
      <c r="E77" s="188" t="str">
        <f t="shared" si="2"/>
        <v>Finnland</v>
      </c>
      <c r="F77" s="118" t="s">
        <v>410</v>
      </c>
      <c r="G77" s="119" t="s">
        <v>475</v>
      </c>
      <c r="H77" s="117" t="s">
        <v>475</v>
      </c>
      <c r="I77" s="120" t="s">
        <v>473</v>
      </c>
      <c r="J77" s="117" t="s">
        <v>881</v>
      </c>
      <c r="K77" s="468" t="s">
        <v>410</v>
      </c>
      <c r="L77" s="69"/>
    </row>
    <row r="78" spans="4:12" x14ac:dyDescent="0.25">
      <c r="D78" s="167">
        <v>74</v>
      </c>
      <c r="E78" s="188" t="str">
        <f t="shared" si="2"/>
        <v>Ghana</v>
      </c>
      <c r="F78" s="118" t="s">
        <v>422</v>
      </c>
      <c r="G78" s="119" t="s">
        <v>422</v>
      </c>
      <c r="H78" s="117" t="s">
        <v>422</v>
      </c>
      <c r="I78" s="120" t="s">
        <v>422</v>
      </c>
      <c r="J78" s="117" t="s">
        <v>422</v>
      </c>
      <c r="K78" s="468" t="s">
        <v>422</v>
      </c>
      <c r="L78" s="69"/>
    </row>
    <row r="79" spans="4:12" x14ac:dyDescent="0.25">
      <c r="D79" s="167">
        <v>75</v>
      </c>
      <c r="E79" s="188" t="str">
        <f t="shared" si="2"/>
        <v>Island</v>
      </c>
      <c r="F79" s="118" t="s">
        <v>324</v>
      </c>
      <c r="G79" s="119" t="s">
        <v>325</v>
      </c>
      <c r="H79" s="117" t="s">
        <v>326</v>
      </c>
      <c r="I79" s="120" t="s">
        <v>327</v>
      </c>
      <c r="J79" s="117" t="s">
        <v>254</v>
      </c>
      <c r="K79" s="468" t="s">
        <v>741</v>
      </c>
      <c r="L79" s="69"/>
    </row>
    <row r="80" spans="4:12" x14ac:dyDescent="0.25">
      <c r="D80" s="167">
        <v>76</v>
      </c>
      <c r="E80" s="188" t="str">
        <f t="shared" si="2"/>
        <v>Bolivien</v>
      </c>
      <c r="F80" s="118" t="s">
        <v>421</v>
      </c>
      <c r="G80" s="119" t="s">
        <v>421</v>
      </c>
      <c r="H80" s="117" t="s">
        <v>421</v>
      </c>
      <c r="I80" s="120" t="s">
        <v>503</v>
      </c>
      <c r="J80" s="117" t="s">
        <v>505</v>
      </c>
      <c r="K80" s="468" t="s">
        <v>746</v>
      </c>
      <c r="L80" s="69"/>
    </row>
    <row r="81" spans="4:12" x14ac:dyDescent="0.25">
      <c r="D81" s="167">
        <v>77</v>
      </c>
      <c r="E81" s="188" t="str">
        <f t="shared" si="2"/>
        <v>Israel</v>
      </c>
      <c r="F81" s="118" t="s">
        <v>416</v>
      </c>
      <c r="G81" s="119" t="s">
        <v>416</v>
      </c>
      <c r="H81" s="117" t="s">
        <v>474</v>
      </c>
      <c r="I81" s="120" t="s">
        <v>490</v>
      </c>
      <c r="J81" s="117" t="s">
        <v>416</v>
      </c>
      <c r="K81" s="468" t="s">
        <v>490</v>
      </c>
      <c r="L81" s="69"/>
    </row>
    <row r="82" spans="4:12" x14ac:dyDescent="0.25">
      <c r="D82" s="167">
        <v>78</v>
      </c>
      <c r="E82" s="188" t="str">
        <f t="shared" si="2"/>
        <v>Kosovo</v>
      </c>
      <c r="F82" s="118"/>
      <c r="G82" s="119"/>
      <c r="H82" s="117"/>
      <c r="I82" s="120"/>
      <c r="J82" s="117" t="s">
        <v>1819</v>
      </c>
      <c r="K82" s="468"/>
      <c r="L82" s="69"/>
    </row>
    <row r="83" spans="4:12" x14ac:dyDescent="0.25">
      <c r="D83" s="167">
        <v>79</v>
      </c>
      <c r="E83" s="188" t="str">
        <f t="shared" si="2"/>
        <v>Oman</v>
      </c>
      <c r="F83" s="118" t="s">
        <v>432</v>
      </c>
      <c r="G83" s="119" t="s">
        <v>512</v>
      </c>
      <c r="H83" s="117" t="s">
        <v>432</v>
      </c>
      <c r="I83" s="120" t="s">
        <v>432</v>
      </c>
      <c r="J83" s="117" t="s">
        <v>432</v>
      </c>
      <c r="K83" s="468" t="s">
        <v>432</v>
      </c>
      <c r="L83" s="69"/>
    </row>
    <row r="84" spans="4:12" x14ac:dyDescent="0.25">
      <c r="D84" s="167">
        <v>80</v>
      </c>
      <c r="E84" s="188" t="str">
        <f t="shared" si="2"/>
        <v>Guinea</v>
      </c>
      <c r="F84" s="118"/>
      <c r="G84" s="119"/>
      <c r="H84" s="117"/>
      <c r="I84" s="120"/>
      <c r="J84" s="117" t="s">
        <v>1820</v>
      </c>
      <c r="K84" s="468"/>
      <c r="L84" s="69"/>
    </row>
    <row r="85" spans="4:12" x14ac:dyDescent="0.25">
      <c r="D85" s="167">
        <v>81</v>
      </c>
      <c r="E85" s="188" t="str">
        <f t="shared" si="2"/>
        <v>Montenegro</v>
      </c>
      <c r="F85" s="118" t="s">
        <v>433</v>
      </c>
      <c r="G85" s="119" t="s">
        <v>433</v>
      </c>
      <c r="H85" s="117" t="s">
        <v>433</v>
      </c>
      <c r="I85" s="120" t="s">
        <v>524</v>
      </c>
      <c r="J85" s="117" t="s">
        <v>433</v>
      </c>
      <c r="K85" s="468" t="s">
        <v>433</v>
      </c>
      <c r="L85" s="69"/>
    </row>
    <row r="86" spans="4:12" x14ac:dyDescent="0.25">
      <c r="D86" s="167">
        <v>82</v>
      </c>
      <c r="E86" s="188" t="str">
        <f t="shared" si="2"/>
        <v>Curaçao</v>
      </c>
      <c r="F86" s="118" t="s">
        <v>1708</v>
      </c>
      <c r="G86" s="119" t="s">
        <v>1729</v>
      </c>
      <c r="H86" s="117" t="s">
        <v>1708</v>
      </c>
      <c r="I86" s="120" t="s">
        <v>1708</v>
      </c>
      <c r="J86" s="117" t="s">
        <v>1708</v>
      </c>
      <c r="K86" s="468" t="s">
        <v>1728</v>
      </c>
      <c r="L86" s="69"/>
    </row>
    <row r="87" spans="4:12" x14ac:dyDescent="0.25">
      <c r="D87" s="167">
        <v>83</v>
      </c>
      <c r="E87" s="188" t="str">
        <f t="shared" si="2"/>
        <v>Haiti</v>
      </c>
      <c r="F87" s="118" t="s">
        <v>1709</v>
      </c>
      <c r="G87" s="119" t="s">
        <v>1709</v>
      </c>
      <c r="H87" s="117" t="s">
        <v>1709</v>
      </c>
      <c r="I87" s="120" t="s">
        <v>1730</v>
      </c>
      <c r="J87" s="117" t="s">
        <v>1709</v>
      </c>
      <c r="K87" s="468" t="s">
        <v>1730</v>
      </c>
      <c r="L87" s="69"/>
    </row>
    <row r="88" spans="4:12" x14ac:dyDescent="0.25">
      <c r="D88" s="167">
        <v>84</v>
      </c>
      <c r="E88" s="188" t="str">
        <f t="shared" si="2"/>
        <v>Syrien</v>
      </c>
      <c r="F88" s="192"/>
      <c r="G88" s="116"/>
      <c r="H88" s="193"/>
      <c r="I88" s="194"/>
      <c r="J88" s="193" t="s">
        <v>1821</v>
      </c>
      <c r="K88" s="468"/>
      <c r="L88" s="195"/>
    </row>
    <row r="89" spans="4:12" x14ac:dyDescent="0.25">
      <c r="D89" s="167">
        <v>85</v>
      </c>
      <c r="E89" s="188" t="str">
        <f t="shared" si="2"/>
        <v>Neuseeland</v>
      </c>
      <c r="F89" s="192" t="s">
        <v>1731</v>
      </c>
      <c r="G89" s="116" t="s">
        <v>1734</v>
      </c>
      <c r="H89" s="193" t="s">
        <v>1733</v>
      </c>
      <c r="I89" s="194" t="s">
        <v>1735</v>
      </c>
      <c r="J89" s="193" t="s">
        <v>527</v>
      </c>
      <c r="K89" s="468" t="s">
        <v>1732</v>
      </c>
      <c r="L89" s="195"/>
    </row>
    <row r="90" spans="4:12" x14ac:dyDescent="0.25">
      <c r="D90" s="167">
        <v>86</v>
      </c>
      <c r="E90" s="188" t="str">
        <f t="shared" si="2"/>
        <v>Bulgarien</v>
      </c>
      <c r="F90" s="192" t="s">
        <v>429</v>
      </c>
      <c r="G90" s="116" t="s">
        <v>429</v>
      </c>
      <c r="H90" s="193" t="s">
        <v>429</v>
      </c>
      <c r="I90" s="194" t="s">
        <v>515</v>
      </c>
      <c r="J90" s="193" t="s">
        <v>516</v>
      </c>
      <c r="K90" s="468" t="s">
        <v>745</v>
      </c>
      <c r="L90" s="195"/>
    </row>
    <row r="91" spans="4:12" x14ac:dyDescent="0.25">
      <c r="D91" s="167">
        <v>87</v>
      </c>
      <c r="E91" s="188" t="str">
        <f t="shared" si="2"/>
        <v>Gabun</v>
      </c>
      <c r="F91" s="192"/>
      <c r="G91" s="116"/>
      <c r="H91" s="193"/>
      <c r="I91" s="194"/>
      <c r="J91" s="193" t="s">
        <v>884</v>
      </c>
      <c r="K91" s="468"/>
      <c r="L91" s="195"/>
    </row>
    <row r="92" spans="4:12" x14ac:dyDescent="0.25">
      <c r="D92" s="167">
        <v>88</v>
      </c>
      <c r="E92" s="188" t="str">
        <f t="shared" si="2"/>
        <v>Uganda</v>
      </c>
      <c r="F92" s="192"/>
      <c r="G92" s="116"/>
      <c r="H92" s="193"/>
      <c r="I92" s="194"/>
      <c r="J92" s="193" t="s">
        <v>1822</v>
      </c>
      <c r="K92" s="468"/>
      <c r="L92" s="195"/>
    </row>
    <row r="93" spans="4:12" x14ac:dyDescent="0.25">
      <c r="D93" s="167">
        <v>89</v>
      </c>
      <c r="E93" s="188" t="str">
        <f t="shared" si="2"/>
        <v>Angola</v>
      </c>
      <c r="F93" s="192"/>
      <c r="G93" s="116"/>
      <c r="H93" s="193"/>
      <c r="I93" s="194"/>
      <c r="J93" s="193" t="s">
        <v>1823</v>
      </c>
      <c r="K93" s="468"/>
      <c r="L93" s="195"/>
    </row>
    <row r="94" spans="4:12" x14ac:dyDescent="0.25">
      <c r="D94" s="167">
        <v>90</v>
      </c>
      <c r="E94" s="188" t="str">
        <f t="shared" si="2"/>
        <v>Benin</v>
      </c>
      <c r="F94" s="192"/>
      <c r="G94" s="116"/>
      <c r="H94" s="193"/>
      <c r="I94" s="194"/>
      <c r="J94" s="680" t="s">
        <v>1838</v>
      </c>
      <c r="K94" s="681"/>
      <c r="L94" s="195"/>
    </row>
    <row r="95" spans="4:12" x14ac:dyDescent="0.25">
      <c r="D95" s="167">
        <v>91</v>
      </c>
      <c r="E95" s="188" t="str">
        <f t="shared" si="2"/>
        <v>Play-Off 1</v>
      </c>
      <c r="F95" s="192" t="s">
        <v>1824</v>
      </c>
      <c r="G95" s="116" t="s">
        <v>1824</v>
      </c>
      <c r="H95" s="193" t="s">
        <v>1824</v>
      </c>
      <c r="I95" s="194" t="s">
        <v>1824</v>
      </c>
      <c r="J95" s="680" t="s">
        <v>1824</v>
      </c>
      <c r="K95" s="681" t="s">
        <v>1824</v>
      </c>
      <c r="L95" s="195"/>
    </row>
    <row r="96" spans="4:12" x14ac:dyDescent="0.25">
      <c r="D96" s="167">
        <v>92</v>
      </c>
      <c r="E96" s="188" t="str">
        <f t="shared" si="2"/>
        <v>Play-Off 2</v>
      </c>
      <c r="F96" s="192" t="s">
        <v>1825</v>
      </c>
      <c r="G96" s="116" t="s">
        <v>1825</v>
      </c>
      <c r="H96" s="193" t="s">
        <v>1825</v>
      </c>
      <c r="I96" s="194" t="s">
        <v>1825</v>
      </c>
      <c r="J96" s="680" t="s">
        <v>1825</v>
      </c>
      <c r="K96" s="681" t="s">
        <v>1825</v>
      </c>
      <c r="L96" s="195"/>
    </row>
    <row r="97" spans="4:15" x14ac:dyDescent="0.25">
      <c r="D97" s="167">
        <v>93</v>
      </c>
      <c r="E97" s="188" t="str">
        <f t="shared" si="2"/>
        <v>Play-Off A</v>
      </c>
      <c r="F97" s="192" t="s">
        <v>1826</v>
      </c>
      <c r="G97" s="116" t="s">
        <v>1826</v>
      </c>
      <c r="H97" s="193" t="s">
        <v>1826</v>
      </c>
      <c r="I97" s="194" t="s">
        <v>1826</v>
      </c>
      <c r="J97" s="680" t="s">
        <v>1826</v>
      </c>
      <c r="K97" s="681" t="s">
        <v>1826</v>
      </c>
      <c r="L97" s="195"/>
    </row>
    <row r="98" spans="4:15" x14ac:dyDescent="0.25">
      <c r="D98" s="167">
        <v>94</v>
      </c>
      <c r="E98" s="188" t="str">
        <f t="shared" si="2"/>
        <v>Play-Off B</v>
      </c>
      <c r="F98" s="192" t="s">
        <v>1827</v>
      </c>
      <c r="G98" s="116" t="s">
        <v>1827</v>
      </c>
      <c r="H98" s="193" t="s">
        <v>1827</v>
      </c>
      <c r="I98" s="194" t="s">
        <v>1827</v>
      </c>
      <c r="J98" s="680" t="s">
        <v>1827</v>
      </c>
      <c r="K98" s="681" t="s">
        <v>1827</v>
      </c>
      <c r="L98" s="195"/>
    </row>
    <row r="99" spans="4:15" x14ac:dyDescent="0.25">
      <c r="D99" s="167">
        <v>95</v>
      </c>
      <c r="E99" s="188" t="str">
        <f t="shared" si="2"/>
        <v>Play-Off C</v>
      </c>
      <c r="F99" s="192" t="s">
        <v>1828</v>
      </c>
      <c r="G99" s="116" t="s">
        <v>1828</v>
      </c>
      <c r="H99" s="193" t="s">
        <v>1828</v>
      </c>
      <c r="I99" s="194" t="s">
        <v>1828</v>
      </c>
      <c r="J99" s="680" t="s">
        <v>1828</v>
      </c>
      <c r="K99" s="681" t="s">
        <v>1828</v>
      </c>
      <c r="L99" s="195"/>
    </row>
    <row r="100" spans="4:15" ht="15.75" thickBot="1" x14ac:dyDescent="0.3">
      <c r="D100" s="191">
        <v>96</v>
      </c>
      <c r="E100" s="188" t="str">
        <f t="shared" si="2"/>
        <v>Play-Off D</v>
      </c>
      <c r="F100" s="121" t="s">
        <v>1829</v>
      </c>
      <c r="G100" s="122" t="s">
        <v>1829</v>
      </c>
      <c r="H100" s="123" t="s">
        <v>1829</v>
      </c>
      <c r="I100" s="124" t="s">
        <v>1829</v>
      </c>
      <c r="J100" s="234" t="s">
        <v>1829</v>
      </c>
      <c r="K100" s="469" t="s">
        <v>1829</v>
      </c>
      <c r="L100" s="70"/>
    </row>
    <row r="101" spans="4:15" ht="16.5" thickTop="1" thickBot="1" x14ac:dyDescent="0.3">
      <c r="E101" s="188"/>
      <c r="F101" s="71"/>
      <c r="G101" s="71"/>
      <c r="H101" s="71"/>
      <c r="I101" s="71"/>
      <c r="J101" s="71"/>
      <c r="K101" s="470"/>
      <c r="L101" s="71"/>
    </row>
    <row r="102" spans="4:15" ht="30.75" thickTop="1" x14ac:dyDescent="0.45">
      <c r="D102" s="166" t="s">
        <v>377</v>
      </c>
      <c r="E102" s="189"/>
      <c r="F102" s="174" t="s">
        <v>110</v>
      </c>
      <c r="G102" s="175"/>
      <c r="H102" s="175"/>
      <c r="I102" s="175"/>
      <c r="J102" s="175"/>
      <c r="K102" s="471"/>
      <c r="L102" s="176"/>
    </row>
    <row r="103" spans="4:15" x14ac:dyDescent="0.25">
      <c r="D103" s="167">
        <v>1</v>
      </c>
      <c r="E103" s="188" t="str">
        <f t="shared" ref="E103:E118" si="3">IF($C$3,F103,IF($C$4,G103,IF($C$5,H103,IF($C$6,I103,IF($C$7,J103,IF($C$8,K103,IF(L103&lt;&gt;"",L103,F103)))))))</f>
        <v>Vancouver</v>
      </c>
      <c r="F103" s="118" t="s">
        <v>885</v>
      </c>
      <c r="G103" s="119" t="s">
        <v>885</v>
      </c>
      <c r="H103" s="117" t="s">
        <v>885</v>
      </c>
      <c r="I103" s="120" t="s">
        <v>885</v>
      </c>
      <c r="J103" s="117" t="s">
        <v>885</v>
      </c>
      <c r="K103" s="468" t="s">
        <v>885</v>
      </c>
      <c r="L103" s="69"/>
      <c r="O103" s="427"/>
    </row>
    <row r="104" spans="4:15" x14ac:dyDescent="0.25">
      <c r="D104" s="113">
        <v>2</v>
      </c>
      <c r="E104" s="188" t="str">
        <f t="shared" si="3"/>
        <v>Toronto</v>
      </c>
      <c r="F104" s="118" t="s">
        <v>886</v>
      </c>
      <c r="G104" s="119" t="s">
        <v>886</v>
      </c>
      <c r="H104" s="117" t="s">
        <v>886</v>
      </c>
      <c r="I104" s="120" t="s">
        <v>886</v>
      </c>
      <c r="J104" s="117" t="s">
        <v>886</v>
      </c>
      <c r="K104" s="468" t="s">
        <v>886</v>
      </c>
      <c r="L104" s="69"/>
      <c r="O104" s="427"/>
    </row>
    <row r="105" spans="4:15" x14ac:dyDescent="0.25">
      <c r="D105" s="113">
        <v>3</v>
      </c>
      <c r="E105" s="188" t="str">
        <f t="shared" si="3"/>
        <v>New York/New Jersey</v>
      </c>
      <c r="F105" s="118" t="s">
        <v>981</v>
      </c>
      <c r="G105" s="119" t="s">
        <v>981</v>
      </c>
      <c r="H105" s="117" t="s">
        <v>981</v>
      </c>
      <c r="I105" s="120" t="s">
        <v>981</v>
      </c>
      <c r="J105" s="117" t="s">
        <v>981</v>
      </c>
      <c r="K105" s="468" t="s">
        <v>981</v>
      </c>
      <c r="L105" s="69"/>
      <c r="O105" s="427"/>
    </row>
    <row r="106" spans="4:15" x14ac:dyDescent="0.25">
      <c r="D106" s="113">
        <v>4</v>
      </c>
      <c r="E106" s="188" t="str">
        <f t="shared" si="3"/>
        <v>Kansas City</v>
      </c>
      <c r="F106" s="118" t="s">
        <v>887</v>
      </c>
      <c r="G106" s="119" t="s">
        <v>887</v>
      </c>
      <c r="H106" s="117" t="s">
        <v>887</v>
      </c>
      <c r="I106" s="120" t="s">
        <v>887</v>
      </c>
      <c r="J106" s="117" t="s">
        <v>887</v>
      </c>
      <c r="K106" s="468" t="s">
        <v>887</v>
      </c>
      <c r="L106" s="69"/>
      <c r="O106" s="427"/>
    </row>
    <row r="107" spans="4:15" x14ac:dyDescent="0.25">
      <c r="D107" s="113">
        <v>5</v>
      </c>
      <c r="E107" s="188" t="str">
        <f t="shared" si="3"/>
        <v>Dallas</v>
      </c>
      <c r="F107" s="118" t="s">
        <v>985</v>
      </c>
      <c r="G107" s="119" t="s">
        <v>985</v>
      </c>
      <c r="H107" s="117" t="s">
        <v>985</v>
      </c>
      <c r="I107" s="120" t="s">
        <v>985</v>
      </c>
      <c r="J107" s="117" t="s">
        <v>985</v>
      </c>
      <c r="K107" s="468" t="s">
        <v>985</v>
      </c>
      <c r="L107" s="69"/>
      <c r="O107" s="427"/>
    </row>
    <row r="108" spans="4:15" x14ac:dyDescent="0.25">
      <c r="D108" s="113">
        <v>6</v>
      </c>
      <c r="E108" s="188" t="str">
        <f t="shared" si="3"/>
        <v>Houston</v>
      </c>
      <c r="F108" s="118" t="s">
        <v>888</v>
      </c>
      <c r="G108" s="119" t="s">
        <v>888</v>
      </c>
      <c r="H108" s="117" t="s">
        <v>888</v>
      </c>
      <c r="I108" s="120" t="s">
        <v>888</v>
      </c>
      <c r="J108" s="117" t="s">
        <v>888</v>
      </c>
      <c r="K108" s="468" t="s">
        <v>888</v>
      </c>
      <c r="L108" s="69"/>
      <c r="O108" s="427"/>
    </row>
    <row r="109" spans="4:15" x14ac:dyDescent="0.25">
      <c r="D109" s="113">
        <v>7</v>
      </c>
      <c r="E109" s="188" t="str">
        <f t="shared" si="3"/>
        <v>Atlanta</v>
      </c>
      <c r="F109" s="118" t="s">
        <v>889</v>
      </c>
      <c r="G109" s="119" t="s">
        <v>889</v>
      </c>
      <c r="H109" s="117" t="s">
        <v>889</v>
      </c>
      <c r="I109" s="120" t="s">
        <v>889</v>
      </c>
      <c r="J109" s="117" t="s">
        <v>889</v>
      </c>
      <c r="K109" s="468" t="s">
        <v>889</v>
      </c>
      <c r="L109" s="69"/>
      <c r="O109" s="427"/>
    </row>
    <row r="110" spans="4:15" x14ac:dyDescent="0.25">
      <c r="D110" s="113">
        <v>8</v>
      </c>
      <c r="E110" s="188" t="str">
        <f t="shared" si="3"/>
        <v>Los Angeles</v>
      </c>
      <c r="F110" s="118" t="s">
        <v>890</v>
      </c>
      <c r="G110" s="119" t="s">
        <v>890</v>
      </c>
      <c r="H110" s="117" t="s">
        <v>890</v>
      </c>
      <c r="I110" s="120" t="s">
        <v>890</v>
      </c>
      <c r="J110" s="117" t="s">
        <v>890</v>
      </c>
      <c r="K110" s="468" t="s">
        <v>890</v>
      </c>
      <c r="L110" s="69"/>
      <c r="O110" s="427"/>
    </row>
    <row r="111" spans="4:15" x14ac:dyDescent="0.25">
      <c r="D111" s="113">
        <v>9</v>
      </c>
      <c r="E111" s="188" t="str">
        <f t="shared" si="3"/>
        <v>Philadelphia</v>
      </c>
      <c r="F111" s="118" t="s">
        <v>891</v>
      </c>
      <c r="G111" s="119" t="s">
        <v>891</v>
      </c>
      <c r="H111" s="117" t="s">
        <v>891</v>
      </c>
      <c r="I111" s="120" t="s">
        <v>891</v>
      </c>
      <c r="J111" s="117" t="s">
        <v>891</v>
      </c>
      <c r="K111" s="468" t="s">
        <v>891</v>
      </c>
      <c r="L111" s="69"/>
      <c r="O111" s="427"/>
    </row>
    <row r="112" spans="4:15" x14ac:dyDescent="0.25">
      <c r="D112" s="113">
        <v>10</v>
      </c>
      <c r="E112" s="188" t="str">
        <f t="shared" si="3"/>
        <v>Seattle</v>
      </c>
      <c r="F112" s="118" t="s">
        <v>892</v>
      </c>
      <c r="G112" s="119" t="s">
        <v>892</v>
      </c>
      <c r="H112" s="117" t="s">
        <v>892</v>
      </c>
      <c r="I112" s="120" t="s">
        <v>892</v>
      </c>
      <c r="J112" s="117" t="s">
        <v>892</v>
      </c>
      <c r="K112" s="468" t="s">
        <v>892</v>
      </c>
      <c r="L112" s="69"/>
      <c r="O112" s="427"/>
    </row>
    <row r="113" spans="4:15" x14ac:dyDescent="0.25">
      <c r="D113" s="113">
        <v>11</v>
      </c>
      <c r="E113" s="188" t="str">
        <f t="shared" si="3"/>
        <v>San Francisco Bay Area</v>
      </c>
      <c r="F113" s="118" t="s">
        <v>982</v>
      </c>
      <c r="G113" s="119" t="s">
        <v>982</v>
      </c>
      <c r="H113" s="117" t="s">
        <v>982</v>
      </c>
      <c r="I113" s="120" t="s">
        <v>982</v>
      </c>
      <c r="J113" s="117" t="s">
        <v>982</v>
      </c>
      <c r="K113" s="468" t="s">
        <v>982</v>
      </c>
      <c r="L113" s="69"/>
      <c r="O113" s="427"/>
    </row>
    <row r="114" spans="4:15" x14ac:dyDescent="0.25">
      <c r="D114" s="113">
        <v>12</v>
      </c>
      <c r="E114" s="188" t="str">
        <f t="shared" si="3"/>
        <v>Boston</v>
      </c>
      <c r="F114" s="118" t="s">
        <v>893</v>
      </c>
      <c r="G114" s="119" t="s">
        <v>893</v>
      </c>
      <c r="H114" s="117" t="s">
        <v>893</v>
      </c>
      <c r="I114" s="120" t="s">
        <v>893</v>
      </c>
      <c r="J114" s="117" t="s">
        <v>893</v>
      </c>
      <c r="K114" s="468" t="s">
        <v>893</v>
      </c>
      <c r="L114" s="69"/>
      <c r="O114" s="427"/>
    </row>
    <row r="115" spans="4:15" x14ac:dyDescent="0.25">
      <c r="D115" s="113">
        <v>13</v>
      </c>
      <c r="E115" s="188" t="str">
        <f t="shared" si="3"/>
        <v>Miami</v>
      </c>
      <c r="F115" s="118" t="s">
        <v>894</v>
      </c>
      <c r="G115" s="119" t="s">
        <v>894</v>
      </c>
      <c r="H115" s="117" t="s">
        <v>894</v>
      </c>
      <c r="I115" s="120" t="s">
        <v>894</v>
      </c>
      <c r="J115" s="117" t="s">
        <v>894</v>
      </c>
      <c r="K115" s="468" t="s">
        <v>894</v>
      </c>
      <c r="L115" s="69"/>
      <c r="O115" s="427"/>
    </row>
    <row r="116" spans="4:15" x14ac:dyDescent="0.25">
      <c r="D116" s="113">
        <v>14</v>
      </c>
      <c r="E116" s="188" t="str">
        <f t="shared" si="3"/>
        <v>Mexico City</v>
      </c>
      <c r="F116" s="118" t="s">
        <v>895</v>
      </c>
      <c r="G116" s="119" t="s">
        <v>895</v>
      </c>
      <c r="H116" s="117" t="s">
        <v>895</v>
      </c>
      <c r="I116" s="120" t="s">
        <v>895</v>
      </c>
      <c r="J116" s="117" t="s">
        <v>895</v>
      </c>
      <c r="K116" s="468" t="s">
        <v>895</v>
      </c>
      <c r="L116" s="69"/>
      <c r="O116" s="427"/>
    </row>
    <row r="117" spans="4:15" x14ac:dyDescent="0.25">
      <c r="D117" s="113">
        <v>15</v>
      </c>
      <c r="E117" s="188" t="str">
        <f t="shared" si="3"/>
        <v>Guadalajara</v>
      </c>
      <c r="F117" s="118" t="s">
        <v>983</v>
      </c>
      <c r="G117" s="119" t="s">
        <v>983</v>
      </c>
      <c r="H117" s="117" t="s">
        <v>983</v>
      </c>
      <c r="I117" s="120" t="s">
        <v>983</v>
      </c>
      <c r="J117" s="117" t="s">
        <v>983</v>
      </c>
      <c r="K117" s="468" t="s">
        <v>983</v>
      </c>
      <c r="L117" s="69"/>
      <c r="O117" s="427"/>
    </row>
    <row r="118" spans="4:15" ht="15.75" thickBot="1" x14ac:dyDescent="0.3">
      <c r="D118" s="115">
        <v>16</v>
      </c>
      <c r="E118" s="188" t="str">
        <f t="shared" si="3"/>
        <v>Monterrey</v>
      </c>
      <c r="F118" s="121" t="s">
        <v>984</v>
      </c>
      <c r="G118" s="122" t="s">
        <v>984</v>
      </c>
      <c r="H118" s="123" t="s">
        <v>984</v>
      </c>
      <c r="I118" s="124" t="s">
        <v>984</v>
      </c>
      <c r="J118" s="234" t="s">
        <v>984</v>
      </c>
      <c r="K118" s="469" t="s">
        <v>984</v>
      </c>
      <c r="L118" s="70"/>
      <c r="O118" s="427"/>
    </row>
    <row r="119" spans="4:15" ht="16.5" thickTop="1" thickBot="1" x14ac:dyDescent="0.3">
      <c r="D119" s="30"/>
      <c r="E119" s="188"/>
      <c r="F119" s="177"/>
      <c r="G119" s="177"/>
      <c r="H119" s="177"/>
      <c r="I119" s="177"/>
      <c r="J119" s="177"/>
      <c r="K119" s="472"/>
      <c r="L119" s="177"/>
    </row>
    <row r="120" spans="4:15" ht="29.25" thickTop="1" x14ac:dyDescent="0.45">
      <c r="E120" s="25"/>
      <c r="F120" s="72" t="s">
        <v>276</v>
      </c>
      <c r="G120" s="73"/>
      <c r="H120" s="73"/>
      <c r="I120" s="73"/>
      <c r="J120" s="73"/>
      <c r="K120" s="473"/>
      <c r="L120" s="74"/>
    </row>
    <row r="121" spans="4:15" ht="61.5" customHeight="1" x14ac:dyDescent="0.25">
      <c r="E121" s="188" t="str">
        <f t="shared" ref="E121:E213" si="4">IF($C$3,F121,IF($C$4,G121,IF($C$5,H121,IF($C$6,I121,IF($C$7,J121,IF($C$8,K121,IF(L121&lt;&gt;"",L121,F121)))))))</f>
        <v>WM 2026 in Kanada/Mexiko/USA</v>
      </c>
      <c r="F121" s="222" t="s">
        <v>929</v>
      </c>
      <c r="G121" s="223" t="s">
        <v>931</v>
      </c>
      <c r="H121" s="224" t="s">
        <v>930</v>
      </c>
      <c r="I121" s="225" t="s">
        <v>928</v>
      </c>
      <c r="J121" s="224" t="s">
        <v>862</v>
      </c>
      <c r="K121" s="474" t="s">
        <v>932</v>
      </c>
      <c r="L121" s="226"/>
    </row>
    <row r="122" spans="4:15" ht="30" x14ac:dyDescent="0.25">
      <c r="E122" s="188" t="str">
        <f t="shared" si="4"/>
        <v>Direkte Vergleiche</v>
      </c>
      <c r="F122" s="293" t="s">
        <v>285</v>
      </c>
      <c r="G122" s="294" t="s">
        <v>299</v>
      </c>
      <c r="H122" s="295" t="s">
        <v>300</v>
      </c>
      <c r="I122" s="296" t="s">
        <v>298</v>
      </c>
      <c r="J122" s="295" t="s">
        <v>297</v>
      </c>
      <c r="K122" s="474" t="s">
        <v>749</v>
      </c>
      <c r="L122" s="297"/>
    </row>
    <row r="123" spans="4:15" x14ac:dyDescent="0.25">
      <c r="E123" s="188" t="str">
        <f t="shared" si="4"/>
        <v>Fair-Play</v>
      </c>
      <c r="F123" s="222" t="s">
        <v>30</v>
      </c>
      <c r="G123" s="223" t="s">
        <v>1712</v>
      </c>
      <c r="H123" s="224" t="s">
        <v>30</v>
      </c>
      <c r="I123" s="225" t="s">
        <v>1712</v>
      </c>
      <c r="J123" s="224" t="s">
        <v>1713</v>
      </c>
      <c r="K123" s="474" t="s">
        <v>1713</v>
      </c>
      <c r="L123" s="226"/>
    </row>
    <row r="124" spans="4:15" x14ac:dyDescent="0.25">
      <c r="E124" s="188" t="str">
        <f t="shared" si="4"/>
        <v>Wahl der Zeitzone</v>
      </c>
      <c r="F124" s="293" t="s">
        <v>355</v>
      </c>
      <c r="G124" s="294" t="s">
        <v>363</v>
      </c>
      <c r="H124" s="295" t="s">
        <v>362</v>
      </c>
      <c r="I124" s="296" t="s">
        <v>361</v>
      </c>
      <c r="J124" s="295" t="s">
        <v>356</v>
      </c>
      <c r="K124" s="474" t="s">
        <v>750</v>
      </c>
      <c r="L124" s="297"/>
    </row>
    <row r="125" spans="4:15" x14ac:dyDescent="0.25">
      <c r="E125" s="188" t="str">
        <f t="shared" si="4"/>
        <v>Spiele</v>
      </c>
      <c r="F125" s="293" t="s">
        <v>247</v>
      </c>
      <c r="G125" s="294" t="s">
        <v>364</v>
      </c>
      <c r="H125" s="295" t="s">
        <v>365</v>
      </c>
      <c r="I125" s="296" t="s">
        <v>360</v>
      </c>
      <c r="J125" s="295" t="s">
        <v>357</v>
      </c>
      <c r="K125" s="474" t="s">
        <v>751</v>
      </c>
      <c r="L125" s="297"/>
    </row>
    <row r="126" spans="4:15" x14ac:dyDescent="0.25">
      <c r="E126" s="188" t="str">
        <f t="shared" si="4"/>
        <v>Wahl der Sprache</v>
      </c>
      <c r="F126" s="293" t="s">
        <v>111</v>
      </c>
      <c r="G126" s="294" t="s">
        <v>367</v>
      </c>
      <c r="H126" s="295" t="s">
        <v>366</v>
      </c>
      <c r="I126" s="296" t="s">
        <v>358</v>
      </c>
      <c r="J126" s="295" t="s">
        <v>359</v>
      </c>
      <c r="K126" s="474" t="s">
        <v>752</v>
      </c>
      <c r="L126" s="297"/>
    </row>
    <row r="127" spans="4:15" ht="30" x14ac:dyDescent="0.25">
      <c r="E127" s="188" t="str">
        <f t="shared" si="4"/>
        <v>Vorhersagen-Ranking</v>
      </c>
      <c r="F127" s="293" t="s">
        <v>614</v>
      </c>
      <c r="G127" s="294" t="s">
        <v>616</v>
      </c>
      <c r="H127" s="295" t="s">
        <v>617</v>
      </c>
      <c r="I127" s="296" t="s">
        <v>618</v>
      </c>
      <c r="J127" s="295" t="s">
        <v>615</v>
      </c>
      <c r="K127" s="474" t="s">
        <v>753</v>
      </c>
      <c r="L127" s="297"/>
    </row>
    <row r="128" spans="4:15" ht="60" x14ac:dyDescent="0.25">
      <c r="E128" s="188" t="str">
        <f t="shared" si="4"/>
        <v>Zuordnung der Gruppendritten im Sechzehntelfinale</v>
      </c>
      <c r="F128" s="222" t="s">
        <v>1079</v>
      </c>
      <c r="G128" s="223" t="s">
        <v>1078</v>
      </c>
      <c r="H128" s="224" t="s">
        <v>1077</v>
      </c>
      <c r="I128" s="225" t="s">
        <v>1076</v>
      </c>
      <c r="J128" s="224" t="s">
        <v>1074</v>
      </c>
      <c r="K128" s="474" t="s">
        <v>1075</v>
      </c>
      <c r="L128" s="226"/>
    </row>
    <row r="129" spans="4:15" ht="28.5" x14ac:dyDescent="0.45">
      <c r="E129" s="25"/>
      <c r="F129" s="75" t="s">
        <v>150</v>
      </c>
      <c r="G129" s="76"/>
      <c r="H129" s="76"/>
      <c r="I129" s="76"/>
      <c r="J129" s="76"/>
      <c r="K129" s="465"/>
      <c r="L129" s="77"/>
      <c r="M129" s="46"/>
    </row>
    <row r="130" spans="4:15" ht="15" customHeight="1" x14ac:dyDescent="0.45">
      <c r="E130" s="188" t="str">
        <f t="shared" si="4"/>
        <v>Gruppe</v>
      </c>
      <c r="F130" s="125" t="s">
        <v>196</v>
      </c>
      <c r="G130" s="126" t="s">
        <v>392</v>
      </c>
      <c r="H130" s="127" t="s">
        <v>393</v>
      </c>
      <c r="I130" s="128" t="s">
        <v>394</v>
      </c>
      <c r="J130" s="127" t="s">
        <v>395</v>
      </c>
      <c r="K130" s="475" t="s">
        <v>754</v>
      </c>
      <c r="L130" s="69"/>
      <c r="M130" s="46"/>
    </row>
    <row r="131" spans="4:15" ht="15" customHeight="1" x14ac:dyDescent="0.45">
      <c r="E131" s="188" t="str">
        <f t="shared" si="4"/>
        <v>Pkt.</v>
      </c>
      <c r="F131" s="125" t="s">
        <v>286</v>
      </c>
      <c r="G131" s="126" t="s">
        <v>288</v>
      </c>
      <c r="H131" s="127" t="s">
        <v>288</v>
      </c>
      <c r="I131" s="128" t="s">
        <v>288</v>
      </c>
      <c r="J131" s="127" t="s">
        <v>287</v>
      </c>
      <c r="K131" s="475" t="s">
        <v>755</v>
      </c>
      <c r="L131" s="69"/>
      <c r="M131" s="46"/>
    </row>
    <row r="132" spans="4:15" ht="15" customHeight="1" x14ac:dyDescent="0.45">
      <c r="E132" s="188" t="str">
        <f t="shared" si="4"/>
        <v>TD</v>
      </c>
      <c r="F132" s="125" t="s">
        <v>189</v>
      </c>
      <c r="G132" s="126" t="s">
        <v>295</v>
      </c>
      <c r="H132" s="127" t="s">
        <v>289</v>
      </c>
      <c r="I132" s="128" t="s">
        <v>289</v>
      </c>
      <c r="J132" s="127" t="s">
        <v>638</v>
      </c>
      <c r="K132" s="475" t="s">
        <v>811</v>
      </c>
      <c r="L132" s="69"/>
      <c r="M132" s="46"/>
    </row>
    <row r="133" spans="4:15" ht="15" customHeight="1" x14ac:dyDescent="0.45">
      <c r="E133" s="188" t="str">
        <f t="shared" si="4"/>
        <v>Tore</v>
      </c>
      <c r="F133" s="125" t="s">
        <v>292</v>
      </c>
      <c r="G133" s="126" t="s">
        <v>294</v>
      </c>
      <c r="H133" s="127" t="s">
        <v>293</v>
      </c>
      <c r="I133" s="128" t="s">
        <v>291</v>
      </c>
      <c r="J133" s="127" t="s">
        <v>290</v>
      </c>
      <c r="K133" s="475" t="s">
        <v>756</v>
      </c>
      <c r="L133" s="69"/>
      <c r="M133" s="46"/>
    </row>
    <row r="134" spans="4:15" ht="19.5" customHeight="1" x14ac:dyDescent="0.45">
      <c r="E134" s="188" t="str">
        <f t="shared" si="4"/>
        <v xml:space="preserve">  Pkt.     Tore</v>
      </c>
      <c r="F134" s="125" t="s">
        <v>246</v>
      </c>
      <c r="G134" s="126" t="s">
        <v>245</v>
      </c>
      <c r="H134" s="127" t="s">
        <v>244</v>
      </c>
      <c r="I134" s="128" t="s">
        <v>243</v>
      </c>
      <c r="J134" s="127" t="s">
        <v>242</v>
      </c>
      <c r="K134" s="475" t="s">
        <v>827</v>
      </c>
      <c r="L134" s="69"/>
      <c r="M134" s="46"/>
    </row>
    <row r="135" spans="4:15" ht="15" customHeight="1" x14ac:dyDescent="0.45">
      <c r="E135" s="188" t="str">
        <f t="shared" si="4"/>
        <v>Total</v>
      </c>
      <c r="F135" s="125" t="s">
        <v>296</v>
      </c>
      <c r="G135" s="126" t="s">
        <v>296</v>
      </c>
      <c r="H135" s="127" t="s">
        <v>301</v>
      </c>
      <c r="I135" s="128" t="s">
        <v>296</v>
      </c>
      <c r="J135" s="127" t="s">
        <v>296</v>
      </c>
      <c r="K135" s="475" t="s">
        <v>757</v>
      </c>
      <c r="L135" s="69"/>
      <c r="M135" s="46"/>
    </row>
    <row r="136" spans="4:15" ht="15" customHeight="1" x14ac:dyDescent="0.45">
      <c r="E136" s="188" t="str">
        <f t="shared" si="4"/>
        <v>(wiederholter DV)</v>
      </c>
      <c r="F136" s="125" t="s">
        <v>1816</v>
      </c>
      <c r="G136" s="126" t="s">
        <v>1815</v>
      </c>
      <c r="H136" s="127" t="s">
        <v>1814</v>
      </c>
      <c r="I136" s="128" t="s">
        <v>1818</v>
      </c>
      <c r="J136" s="127" t="s">
        <v>1813</v>
      </c>
      <c r="K136" s="475" t="s">
        <v>1817</v>
      </c>
      <c r="L136" s="69"/>
      <c r="M136" s="46"/>
    </row>
    <row r="137" spans="4:15" ht="45" customHeight="1" x14ac:dyDescent="0.45">
      <c r="E137" s="188" t="str">
        <f t="shared" si="4"/>
        <v>Direktvergleich 1</v>
      </c>
      <c r="F137" s="661" t="s">
        <v>1777</v>
      </c>
      <c r="G137" s="662" t="s">
        <v>1775</v>
      </c>
      <c r="H137" s="663" t="s">
        <v>1774</v>
      </c>
      <c r="I137" s="664" t="s">
        <v>1773</v>
      </c>
      <c r="J137" s="663" t="s">
        <v>1772</v>
      </c>
      <c r="K137" s="475" t="s">
        <v>1776</v>
      </c>
      <c r="L137" s="69"/>
      <c r="M137" s="46"/>
    </row>
    <row r="138" spans="4:15" ht="15" customHeight="1" x14ac:dyDescent="0.45">
      <c r="E138" s="188" t="str">
        <f t="shared" si="4"/>
        <v>Direktvergleich 2</v>
      </c>
      <c r="F138" s="125" t="s">
        <v>1778</v>
      </c>
      <c r="G138" s="126" t="s">
        <v>1780</v>
      </c>
      <c r="H138" s="127" t="s">
        <v>1782</v>
      </c>
      <c r="I138" s="128" t="s">
        <v>1784</v>
      </c>
      <c r="J138" s="127" t="s">
        <v>1786</v>
      </c>
      <c r="K138" s="475" t="s">
        <v>1788</v>
      </c>
      <c r="L138" s="69"/>
      <c r="M138" s="46"/>
    </row>
    <row r="139" spans="4:15" ht="15" customHeight="1" x14ac:dyDescent="0.45">
      <c r="E139" s="188" t="str">
        <f t="shared" si="4"/>
        <v>Direktvergleich 3</v>
      </c>
      <c r="F139" s="125" t="s">
        <v>1779</v>
      </c>
      <c r="G139" s="126" t="s">
        <v>1781</v>
      </c>
      <c r="H139" s="127" t="s">
        <v>1783</v>
      </c>
      <c r="I139" s="128" t="s">
        <v>1785</v>
      </c>
      <c r="J139" s="127" t="s">
        <v>1787</v>
      </c>
      <c r="K139" s="475" t="s">
        <v>1789</v>
      </c>
      <c r="L139" s="69"/>
      <c r="M139" s="46"/>
    </row>
    <row r="140" spans="4:15" x14ac:dyDescent="0.25">
      <c r="E140" s="188" t="str">
        <f t="shared" si="4"/>
        <v>Gesamttabelle</v>
      </c>
      <c r="F140" s="118" t="s">
        <v>1790</v>
      </c>
      <c r="G140" s="119" t="s">
        <v>1794</v>
      </c>
      <c r="H140" s="117" t="s">
        <v>1793</v>
      </c>
      <c r="I140" s="120" t="s">
        <v>198</v>
      </c>
      <c r="J140" s="117" t="s">
        <v>1791</v>
      </c>
      <c r="K140" s="468" t="s">
        <v>1792</v>
      </c>
      <c r="L140" s="69"/>
      <c r="M140" s="68"/>
      <c r="N140" s="68"/>
      <c r="O140" s="68"/>
    </row>
    <row r="141" spans="4:15" ht="30.75" thickBot="1" x14ac:dyDescent="0.3">
      <c r="E141" s="188" t="str">
        <f t="shared" si="4"/>
        <v>Weltmeister 2026:</v>
      </c>
      <c r="F141" s="118" t="s">
        <v>863</v>
      </c>
      <c r="G141" s="119" t="s">
        <v>864</v>
      </c>
      <c r="H141" s="117" t="s">
        <v>865</v>
      </c>
      <c r="I141" s="120" t="s">
        <v>866</v>
      </c>
      <c r="J141" s="117" t="s">
        <v>867</v>
      </c>
      <c r="K141" s="468" t="s">
        <v>868</v>
      </c>
      <c r="L141" s="69"/>
      <c r="M141" s="68"/>
      <c r="N141" s="68"/>
      <c r="O141" s="68"/>
    </row>
    <row r="142" spans="4:15" ht="15.75" thickTop="1" x14ac:dyDescent="0.25">
      <c r="D142" s="185">
        <v>1</v>
      </c>
      <c r="E142" s="188" t="str">
        <f t="shared" si="4"/>
        <v>Sechzehntelfinale 1</v>
      </c>
      <c r="F142" s="118" t="s">
        <v>912</v>
      </c>
      <c r="G142" s="119" t="s">
        <v>965</v>
      </c>
      <c r="H142" s="117" t="s">
        <v>949</v>
      </c>
      <c r="I142" s="120" t="s">
        <v>896</v>
      </c>
      <c r="J142" s="117" t="s">
        <v>840</v>
      </c>
      <c r="K142" s="468" t="s">
        <v>933</v>
      </c>
      <c r="L142" s="69"/>
      <c r="M142" s="68"/>
      <c r="N142" s="68"/>
      <c r="O142" s="68"/>
    </row>
    <row r="143" spans="4:15" x14ac:dyDescent="0.25">
      <c r="D143" s="113">
        <v>2</v>
      </c>
      <c r="E143" s="188" t="str">
        <f t="shared" si="4"/>
        <v>Sechzehntelfinale 2</v>
      </c>
      <c r="F143" s="118" t="s">
        <v>913</v>
      </c>
      <c r="G143" s="119" t="s">
        <v>966</v>
      </c>
      <c r="H143" s="117" t="s">
        <v>950</v>
      </c>
      <c r="I143" s="120" t="s">
        <v>897</v>
      </c>
      <c r="J143" s="117" t="s">
        <v>841</v>
      </c>
      <c r="K143" s="468" t="s">
        <v>934</v>
      </c>
      <c r="L143" s="69"/>
      <c r="M143" s="68"/>
      <c r="N143" s="68"/>
      <c r="O143" s="68"/>
    </row>
    <row r="144" spans="4:15" x14ac:dyDescent="0.25">
      <c r="D144" s="113">
        <v>3</v>
      </c>
      <c r="E144" s="188" t="str">
        <f t="shared" si="4"/>
        <v>Sechzehntelfinale 3</v>
      </c>
      <c r="F144" s="118" t="s">
        <v>914</v>
      </c>
      <c r="G144" s="119" t="s">
        <v>967</v>
      </c>
      <c r="H144" s="117" t="s">
        <v>951</v>
      </c>
      <c r="I144" s="120" t="s">
        <v>898</v>
      </c>
      <c r="J144" s="117" t="s">
        <v>842</v>
      </c>
      <c r="K144" s="468" t="s">
        <v>935</v>
      </c>
      <c r="L144" s="69"/>
      <c r="M144" s="68"/>
      <c r="N144" s="68"/>
      <c r="O144" s="68"/>
    </row>
    <row r="145" spans="4:15" x14ac:dyDescent="0.25">
      <c r="D145" s="113">
        <v>4</v>
      </c>
      <c r="E145" s="188" t="str">
        <f t="shared" si="4"/>
        <v>Sechzehntelfinale 4</v>
      </c>
      <c r="F145" s="118" t="s">
        <v>915</v>
      </c>
      <c r="G145" s="119" t="s">
        <v>968</v>
      </c>
      <c r="H145" s="117" t="s">
        <v>952</v>
      </c>
      <c r="I145" s="120" t="s">
        <v>899</v>
      </c>
      <c r="J145" s="117" t="s">
        <v>843</v>
      </c>
      <c r="K145" s="468" t="s">
        <v>936</v>
      </c>
      <c r="L145" s="69"/>
      <c r="M145" s="68"/>
      <c r="N145" s="68"/>
      <c r="O145" s="68"/>
    </row>
    <row r="146" spans="4:15" x14ac:dyDescent="0.25">
      <c r="D146" s="113">
        <v>5</v>
      </c>
      <c r="E146" s="188" t="str">
        <f t="shared" si="4"/>
        <v>Sechzehntelfinale 5</v>
      </c>
      <c r="F146" s="118" t="s">
        <v>916</v>
      </c>
      <c r="G146" s="119" t="s">
        <v>969</v>
      </c>
      <c r="H146" s="117" t="s">
        <v>953</v>
      </c>
      <c r="I146" s="120" t="s">
        <v>900</v>
      </c>
      <c r="J146" s="117" t="s">
        <v>844</v>
      </c>
      <c r="K146" s="468" t="s">
        <v>937</v>
      </c>
      <c r="L146" s="69"/>
      <c r="M146" s="68"/>
      <c r="N146" s="68"/>
      <c r="O146" s="68"/>
    </row>
    <row r="147" spans="4:15" x14ac:dyDescent="0.25">
      <c r="D147" s="113">
        <v>6</v>
      </c>
      <c r="E147" s="188" t="str">
        <f t="shared" si="4"/>
        <v>Sechzehntelfinale 6</v>
      </c>
      <c r="F147" s="118" t="s">
        <v>917</v>
      </c>
      <c r="G147" s="119" t="s">
        <v>970</v>
      </c>
      <c r="H147" s="117" t="s">
        <v>954</v>
      </c>
      <c r="I147" s="120" t="s">
        <v>901</v>
      </c>
      <c r="J147" s="117" t="s">
        <v>845</v>
      </c>
      <c r="K147" s="468" t="s">
        <v>938</v>
      </c>
      <c r="L147" s="69"/>
      <c r="M147" s="68"/>
      <c r="N147" s="68"/>
      <c r="O147" s="68"/>
    </row>
    <row r="148" spans="4:15" x14ac:dyDescent="0.25">
      <c r="D148" s="113">
        <v>7</v>
      </c>
      <c r="E148" s="188" t="str">
        <f t="shared" si="4"/>
        <v>Sechzehntelfinale 7</v>
      </c>
      <c r="F148" s="118" t="s">
        <v>918</v>
      </c>
      <c r="G148" s="119" t="s">
        <v>971</v>
      </c>
      <c r="H148" s="117" t="s">
        <v>955</v>
      </c>
      <c r="I148" s="120" t="s">
        <v>902</v>
      </c>
      <c r="J148" s="117" t="s">
        <v>846</v>
      </c>
      <c r="K148" s="468" t="s">
        <v>939</v>
      </c>
      <c r="L148" s="69"/>
      <c r="M148" s="68"/>
      <c r="N148" s="68"/>
      <c r="O148" s="68"/>
    </row>
    <row r="149" spans="4:15" x14ac:dyDescent="0.25">
      <c r="D149" s="245">
        <v>8</v>
      </c>
      <c r="E149" s="188" t="str">
        <f t="shared" si="4"/>
        <v>Sechzehntelfinale 8</v>
      </c>
      <c r="F149" s="118" t="s">
        <v>919</v>
      </c>
      <c r="G149" s="119" t="s">
        <v>972</v>
      </c>
      <c r="H149" s="117" t="s">
        <v>956</v>
      </c>
      <c r="I149" s="120" t="s">
        <v>903</v>
      </c>
      <c r="J149" s="117" t="s">
        <v>847</v>
      </c>
      <c r="K149" s="468" t="s">
        <v>940</v>
      </c>
      <c r="L149" s="69"/>
      <c r="M149" s="68"/>
      <c r="N149" s="68"/>
      <c r="O149" s="68"/>
    </row>
    <row r="150" spans="4:15" x14ac:dyDescent="0.25">
      <c r="D150" s="113">
        <v>9</v>
      </c>
      <c r="E150" s="188" t="str">
        <f t="shared" si="4"/>
        <v>Sechzehntelfinale 9</v>
      </c>
      <c r="F150" s="118" t="s">
        <v>920</v>
      </c>
      <c r="G150" s="119" t="s">
        <v>973</v>
      </c>
      <c r="H150" s="117" t="s">
        <v>957</v>
      </c>
      <c r="I150" s="120" t="s">
        <v>904</v>
      </c>
      <c r="J150" s="117" t="s">
        <v>848</v>
      </c>
      <c r="K150" s="468" t="s">
        <v>941</v>
      </c>
      <c r="L150" s="69"/>
      <c r="M150" s="68"/>
      <c r="N150" s="68"/>
      <c r="O150" s="68"/>
    </row>
    <row r="151" spans="4:15" x14ac:dyDescent="0.25">
      <c r="D151" s="245">
        <v>10</v>
      </c>
      <c r="E151" s="188" t="str">
        <f t="shared" si="4"/>
        <v>Sechzehntelfinale 10</v>
      </c>
      <c r="F151" s="118" t="s">
        <v>921</v>
      </c>
      <c r="G151" s="119" t="s">
        <v>974</v>
      </c>
      <c r="H151" s="117" t="s">
        <v>958</v>
      </c>
      <c r="I151" s="120" t="s">
        <v>905</v>
      </c>
      <c r="J151" s="117" t="s">
        <v>849</v>
      </c>
      <c r="K151" s="468" t="s">
        <v>942</v>
      </c>
      <c r="L151" s="69"/>
      <c r="M151" s="68"/>
      <c r="N151" s="68"/>
      <c r="O151" s="68"/>
    </row>
    <row r="152" spans="4:15" x14ac:dyDescent="0.25">
      <c r="D152" s="113">
        <v>11</v>
      </c>
      <c r="E152" s="188" t="str">
        <f t="shared" si="4"/>
        <v>Sechzehntelfinale 11</v>
      </c>
      <c r="F152" s="118" t="s">
        <v>922</v>
      </c>
      <c r="G152" s="119" t="s">
        <v>975</v>
      </c>
      <c r="H152" s="117" t="s">
        <v>959</v>
      </c>
      <c r="I152" s="120" t="s">
        <v>906</v>
      </c>
      <c r="J152" s="117" t="s">
        <v>850</v>
      </c>
      <c r="K152" s="468" t="s">
        <v>943</v>
      </c>
      <c r="L152" s="69"/>
      <c r="M152" s="68"/>
      <c r="N152" s="68"/>
      <c r="O152" s="68"/>
    </row>
    <row r="153" spans="4:15" x14ac:dyDescent="0.25">
      <c r="D153" s="245">
        <v>12</v>
      </c>
      <c r="E153" s="188" t="str">
        <f t="shared" si="4"/>
        <v>Sechzehntelfinale 12</v>
      </c>
      <c r="F153" s="118" t="s">
        <v>923</v>
      </c>
      <c r="G153" s="119" t="s">
        <v>976</v>
      </c>
      <c r="H153" s="117" t="s">
        <v>960</v>
      </c>
      <c r="I153" s="120" t="s">
        <v>907</v>
      </c>
      <c r="J153" s="117" t="s">
        <v>851</v>
      </c>
      <c r="K153" s="468" t="s">
        <v>944</v>
      </c>
      <c r="L153" s="69"/>
      <c r="M153" s="68"/>
      <c r="N153" s="68"/>
      <c r="O153" s="68"/>
    </row>
    <row r="154" spans="4:15" x14ac:dyDescent="0.25">
      <c r="D154" s="113">
        <v>13</v>
      </c>
      <c r="E154" s="188" t="str">
        <f t="shared" si="4"/>
        <v>Sechzehntelfinale 13</v>
      </c>
      <c r="F154" s="118" t="s">
        <v>924</v>
      </c>
      <c r="G154" s="119" t="s">
        <v>977</v>
      </c>
      <c r="H154" s="117" t="s">
        <v>961</v>
      </c>
      <c r="I154" s="120" t="s">
        <v>908</v>
      </c>
      <c r="J154" s="117" t="s">
        <v>852</v>
      </c>
      <c r="K154" s="468" t="s">
        <v>945</v>
      </c>
      <c r="L154" s="69"/>
      <c r="M154" s="68"/>
      <c r="N154" s="68"/>
      <c r="O154" s="68"/>
    </row>
    <row r="155" spans="4:15" x14ac:dyDescent="0.25">
      <c r="D155" s="245">
        <v>14</v>
      </c>
      <c r="E155" s="188" t="str">
        <f t="shared" si="4"/>
        <v>Sechzehntelfinale 14</v>
      </c>
      <c r="F155" s="118" t="s">
        <v>925</v>
      </c>
      <c r="G155" s="119" t="s">
        <v>978</v>
      </c>
      <c r="H155" s="117" t="s">
        <v>962</v>
      </c>
      <c r="I155" s="120" t="s">
        <v>909</v>
      </c>
      <c r="J155" s="117" t="s">
        <v>853</v>
      </c>
      <c r="K155" s="468" t="s">
        <v>946</v>
      </c>
      <c r="L155" s="69"/>
      <c r="M155" s="68"/>
      <c r="N155" s="68"/>
      <c r="O155" s="68"/>
    </row>
    <row r="156" spans="4:15" x14ac:dyDescent="0.25">
      <c r="D156" s="113">
        <v>15</v>
      </c>
      <c r="E156" s="188" t="str">
        <f t="shared" si="4"/>
        <v>Sechzehntelfinale 15</v>
      </c>
      <c r="F156" s="118" t="s">
        <v>926</v>
      </c>
      <c r="G156" s="119" t="s">
        <v>979</v>
      </c>
      <c r="H156" s="117" t="s">
        <v>963</v>
      </c>
      <c r="I156" s="120" t="s">
        <v>910</v>
      </c>
      <c r="J156" s="117" t="s">
        <v>854</v>
      </c>
      <c r="K156" s="468" t="s">
        <v>947</v>
      </c>
      <c r="L156" s="69"/>
      <c r="M156" s="68"/>
      <c r="N156" s="68"/>
      <c r="O156" s="68"/>
    </row>
    <row r="157" spans="4:15" ht="15.75" thickBot="1" x14ac:dyDescent="0.3">
      <c r="D157" s="115">
        <v>16</v>
      </c>
      <c r="E157" s="188" t="str">
        <f t="shared" si="4"/>
        <v>Sechzehntelfinale 16</v>
      </c>
      <c r="F157" s="118" t="s">
        <v>927</v>
      </c>
      <c r="G157" s="119" t="s">
        <v>980</v>
      </c>
      <c r="H157" s="117" t="s">
        <v>964</v>
      </c>
      <c r="I157" s="120" t="s">
        <v>911</v>
      </c>
      <c r="J157" s="117" t="s">
        <v>855</v>
      </c>
      <c r="K157" s="468" t="s">
        <v>948</v>
      </c>
      <c r="L157" s="69"/>
      <c r="M157" s="68"/>
      <c r="N157" s="68"/>
      <c r="O157" s="68"/>
    </row>
    <row r="158" spans="4:15" ht="15.75" thickTop="1" x14ac:dyDescent="0.25">
      <c r="D158" s="185">
        <v>1</v>
      </c>
      <c r="E158" s="188" t="str">
        <f t="shared" si="4"/>
        <v>Achtelfinale 1</v>
      </c>
      <c r="F158" s="118" t="s">
        <v>49</v>
      </c>
      <c r="G158" s="119" t="s">
        <v>199</v>
      </c>
      <c r="H158" s="117" t="s">
        <v>207</v>
      </c>
      <c r="I158" s="120" t="s">
        <v>215</v>
      </c>
      <c r="J158" s="117" t="s">
        <v>152</v>
      </c>
      <c r="K158" s="468" t="s">
        <v>758</v>
      </c>
      <c r="L158" s="69"/>
      <c r="M158" s="68"/>
      <c r="N158" s="68"/>
      <c r="O158" s="68"/>
    </row>
    <row r="159" spans="4:15" x14ac:dyDescent="0.25">
      <c r="D159" s="113">
        <v>2</v>
      </c>
      <c r="E159" s="188" t="str">
        <f t="shared" si="4"/>
        <v>Achtelfinale 2</v>
      </c>
      <c r="F159" s="118" t="s">
        <v>47</v>
      </c>
      <c r="G159" s="119" t="s">
        <v>200</v>
      </c>
      <c r="H159" s="117" t="s">
        <v>208</v>
      </c>
      <c r="I159" s="120" t="s">
        <v>216</v>
      </c>
      <c r="J159" s="117" t="s">
        <v>153</v>
      </c>
      <c r="K159" s="468" t="s">
        <v>759</v>
      </c>
      <c r="L159" s="69"/>
      <c r="M159" s="68"/>
      <c r="N159" s="68"/>
      <c r="O159" s="68"/>
    </row>
    <row r="160" spans="4:15" x14ac:dyDescent="0.25">
      <c r="D160" s="113">
        <v>3</v>
      </c>
      <c r="E160" s="188" t="str">
        <f t="shared" si="4"/>
        <v>Achtelfinale 3</v>
      </c>
      <c r="F160" s="118" t="s">
        <v>50</v>
      </c>
      <c r="G160" s="119" t="s">
        <v>201</v>
      </c>
      <c r="H160" s="117" t="s">
        <v>209</v>
      </c>
      <c r="I160" s="120" t="s">
        <v>217</v>
      </c>
      <c r="J160" s="117" t="s">
        <v>154</v>
      </c>
      <c r="K160" s="468" t="s">
        <v>760</v>
      </c>
      <c r="L160" s="69"/>
      <c r="M160" s="68"/>
      <c r="N160" s="68"/>
      <c r="O160" s="68"/>
    </row>
    <row r="161" spans="4:15" x14ac:dyDescent="0.25">
      <c r="D161" s="113">
        <v>4</v>
      </c>
      <c r="E161" s="188" t="str">
        <f t="shared" si="4"/>
        <v>Achtelfinale 4</v>
      </c>
      <c r="F161" s="118" t="s">
        <v>48</v>
      </c>
      <c r="G161" s="119" t="s">
        <v>202</v>
      </c>
      <c r="H161" s="117" t="s">
        <v>210</v>
      </c>
      <c r="I161" s="120" t="s">
        <v>218</v>
      </c>
      <c r="J161" s="117" t="s">
        <v>155</v>
      </c>
      <c r="K161" s="468" t="s">
        <v>761</v>
      </c>
      <c r="L161" s="69"/>
      <c r="M161" s="68"/>
      <c r="N161" s="68"/>
      <c r="O161" s="68"/>
    </row>
    <row r="162" spans="4:15" x14ac:dyDescent="0.25">
      <c r="D162" s="113">
        <v>5</v>
      </c>
      <c r="E162" s="188" t="str">
        <f t="shared" si="4"/>
        <v>Achtelfinale 5</v>
      </c>
      <c r="F162" s="118" t="s">
        <v>45</v>
      </c>
      <c r="G162" s="119" t="s">
        <v>203</v>
      </c>
      <c r="H162" s="117" t="s">
        <v>211</v>
      </c>
      <c r="I162" s="120" t="s">
        <v>219</v>
      </c>
      <c r="J162" s="117" t="s">
        <v>156</v>
      </c>
      <c r="K162" s="468" t="s">
        <v>762</v>
      </c>
      <c r="L162" s="69"/>
      <c r="M162" s="68"/>
      <c r="N162" s="68"/>
      <c r="O162" s="68"/>
    </row>
    <row r="163" spans="4:15" x14ac:dyDescent="0.25">
      <c r="D163" s="113">
        <v>6</v>
      </c>
      <c r="E163" s="188" t="str">
        <f t="shared" si="4"/>
        <v>Achtelfinale 6</v>
      </c>
      <c r="F163" s="118" t="s">
        <v>46</v>
      </c>
      <c r="G163" s="119" t="s">
        <v>204</v>
      </c>
      <c r="H163" s="117" t="s">
        <v>212</v>
      </c>
      <c r="I163" s="120" t="s">
        <v>220</v>
      </c>
      <c r="J163" s="117" t="s">
        <v>157</v>
      </c>
      <c r="K163" s="468" t="s">
        <v>763</v>
      </c>
      <c r="L163" s="69"/>
      <c r="M163" s="68"/>
      <c r="N163" s="68"/>
      <c r="O163" s="68"/>
    </row>
    <row r="164" spans="4:15" x14ac:dyDescent="0.25">
      <c r="D164" s="113">
        <v>7</v>
      </c>
      <c r="E164" s="188" t="str">
        <f t="shared" si="4"/>
        <v>Achtelfinale 7</v>
      </c>
      <c r="F164" s="118" t="s">
        <v>51</v>
      </c>
      <c r="G164" s="119" t="s">
        <v>205</v>
      </c>
      <c r="H164" s="117" t="s">
        <v>213</v>
      </c>
      <c r="I164" s="120" t="s">
        <v>221</v>
      </c>
      <c r="J164" s="117" t="s">
        <v>158</v>
      </c>
      <c r="K164" s="468" t="s">
        <v>764</v>
      </c>
      <c r="L164" s="69"/>
    </row>
    <row r="165" spans="4:15" ht="15.75" thickBot="1" x14ac:dyDescent="0.3">
      <c r="D165" s="115">
        <v>8</v>
      </c>
      <c r="E165" s="188" t="str">
        <f t="shared" si="4"/>
        <v>Achtelfinale 8</v>
      </c>
      <c r="F165" s="118" t="s">
        <v>52</v>
      </c>
      <c r="G165" s="119" t="s">
        <v>206</v>
      </c>
      <c r="H165" s="117" t="s">
        <v>214</v>
      </c>
      <c r="I165" s="120" t="s">
        <v>222</v>
      </c>
      <c r="J165" s="117" t="s">
        <v>159</v>
      </c>
      <c r="K165" s="468" t="s">
        <v>765</v>
      </c>
      <c r="L165" s="69"/>
    </row>
    <row r="166" spans="4:15" ht="15.75" thickTop="1" x14ac:dyDescent="0.25">
      <c r="D166" s="185">
        <v>1</v>
      </c>
      <c r="E166" s="188" t="str">
        <f t="shared" si="4"/>
        <v>Viertelfinale 1</v>
      </c>
      <c r="F166" s="162" t="s">
        <v>351</v>
      </c>
      <c r="G166" s="119" t="s">
        <v>231</v>
      </c>
      <c r="H166" s="117" t="s">
        <v>227</v>
      </c>
      <c r="I166" s="120" t="s">
        <v>223</v>
      </c>
      <c r="J166" s="117" t="s">
        <v>160</v>
      </c>
      <c r="K166" s="468" t="s">
        <v>766</v>
      </c>
      <c r="L166" s="69"/>
    </row>
    <row r="167" spans="4:15" x14ac:dyDescent="0.25">
      <c r="D167" s="113">
        <v>2</v>
      </c>
      <c r="E167" s="188" t="str">
        <f t="shared" si="4"/>
        <v>Viertelfinale 2</v>
      </c>
      <c r="F167" s="162" t="s">
        <v>352</v>
      </c>
      <c r="G167" s="119" t="s">
        <v>232</v>
      </c>
      <c r="H167" s="117" t="s">
        <v>228</v>
      </c>
      <c r="I167" s="120" t="s">
        <v>224</v>
      </c>
      <c r="J167" s="117" t="s">
        <v>161</v>
      </c>
      <c r="K167" s="468" t="s">
        <v>767</v>
      </c>
      <c r="L167" s="69"/>
    </row>
    <row r="168" spans="4:15" x14ac:dyDescent="0.25">
      <c r="D168" s="113">
        <v>3</v>
      </c>
      <c r="E168" s="188" t="str">
        <f t="shared" si="4"/>
        <v>Viertelfinale 3</v>
      </c>
      <c r="F168" s="162" t="s">
        <v>353</v>
      </c>
      <c r="G168" s="119" t="s">
        <v>233</v>
      </c>
      <c r="H168" s="117" t="s">
        <v>229</v>
      </c>
      <c r="I168" s="120" t="s">
        <v>225</v>
      </c>
      <c r="J168" s="117" t="s">
        <v>162</v>
      </c>
      <c r="K168" s="468" t="s">
        <v>768</v>
      </c>
      <c r="L168" s="69"/>
    </row>
    <row r="169" spans="4:15" ht="15.75" thickBot="1" x14ac:dyDescent="0.3">
      <c r="D169" s="115">
        <v>4</v>
      </c>
      <c r="E169" s="188" t="str">
        <f t="shared" si="4"/>
        <v>Viertelfinale 4</v>
      </c>
      <c r="F169" s="162" t="s">
        <v>354</v>
      </c>
      <c r="G169" s="119" t="s">
        <v>234</v>
      </c>
      <c r="H169" s="117" t="s">
        <v>230</v>
      </c>
      <c r="I169" s="120" t="s">
        <v>226</v>
      </c>
      <c r="J169" s="117" t="s">
        <v>163</v>
      </c>
      <c r="K169" s="468" t="s">
        <v>769</v>
      </c>
      <c r="L169" s="69"/>
    </row>
    <row r="170" spans="4:15" ht="15.75" thickTop="1" x14ac:dyDescent="0.25">
      <c r="E170" s="188" t="str">
        <f t="shared" si="4"/>
        <v>Halbfinale 1</v>
      </c>
      <c r="F170" s="118" t="s">
        <v>53</v>
      </c>
      <c r="G170" s="119" t="s">
        <v>235</v>
      </c>
      <c r="H170" s="117" t="s">
        <v>237</v>
      </c>
      <c r="I170" s="120" t="s">
        <v>239</v>
      </c>
      <c r="J170" s="117" t="s">
        <v>164</v>
      </c>
      <c r="K170" s="468" t="s">
        <v>770</v>
      </c>
      <c r="L170" s="69"/>
    </row>
    <row r="171" spans="4:15" x14ac:dyDescent="0.25">
      <c r="E171" s="188" t="str">
        <f t="shared" si="4"/>
        <v>Halbfinale 2</v>
      </c>
      <c r="F171" s="118" t="s">
        <v>54</v>
      </c>
      <c r="G171" s="119" t="s">
        <v>236</v>
      </c>
      <c r="H171" s="117" t="s">
        <v>238</v>
      </c>
      <c r="I171" s="120" t="s">
        <v>240</v>
      </c>
      <c r="J171" s="117" t="s">
        <v>165</v>
      </c>
      <c r="K171" s="468" t="s">
        <v>771</v>
      </c>
      <c r="L171" s="69"/>
    </row>
    <row r="172" spans="4:15" x14ac:dyDescent="0.25">
      <c r="E172" s="188" t="str">
        <f t="shared" si="4"/>
        <v>Dritter Platz</v>
      </c>
      <c r="F172" s="118" t="s">
        <v>151</v>
      </c>
      <c r="G172" s="119" t="s">
        <v>380</v>
      </c>
      <c r="H172" s="117" t="s">
        <v>381</v>
      </c>
      <c r="I172" s="120" t="s">
        <v>241</v>
      </c>
      <c r="J172" s="117" t="s">
        <v>166</v>
      </c>
      <c r="K172" s="468" t="s">
        <v>772</v>
      </c>
      <c r="L172" s="69"/>
    </row>
    <row r="173" spans="4:15" x14ac:dyDescent="0.25">
      <c r="E173" s="188" t="str">
        <f t="shared" si="4"/>
        <v>Finale</v>
      </c>
      <c r="F173" s="118" t="s">
        <v>55</v>
      </c>
      <c r="G173" s="119" t="s">
        <v>55</v>
      </c>
      <c r="H173" s="117" t="s">
        <v>167</v>
      </c>
      <c r="I173" s="120" t="s">
        <v>55</v>
      </c>
      <c r="J173" s="117" t="s">
        <v>167</v>
      </c>
      <c r="K173" s="468" t="s">
        <v>167</v>
      </c>
      <c r="L173" s="69"/>
    </row>
    <row r="174" spans="4:15" x14ac:dyDescent="0.25">
      <c r="E174" s="188" t="str">
        <f t="shared" si="4"/>
        <v>Wertung</v>
      </c>
      <c r="F174" s="118" t="s">
        <v>1802</v>
      </c>
      <c r="G174" s="119" t="s">
        <v>1806</v>
      </c>
      <c r="H174" s="117" t="s">
        <v>1805</v>
      </c>
      <c r="I174" s="120" t="s">
        <v>1804</v>
      </c>
      <c r="J174" s="117" t="s">
        <v>1801</v>
      </c>
      <c r="K174" s="468" t="s">
        <v>1803</v>
      </c>
      <c r="L174" s="69"/>
    </row>
    <row r="175" spans="4:15" x14ac:dyDescent="0.25">
      <c r="E175" s="188" t="str">
        <f t="shared" si="4"/>
        <v>Elfmeterschießen:</v>
      </c>
      <c r="F175" s="118" t="s">
        <v>528</v>
      </c>
      <c r="G175" s="119" t="s">
        <v>529</v>
      </c>
      <c r="H175" s="117" t="s">
        <v>530</v>
      </c>
      <c r="I175" s="120" t="s">
        <v>531</v>
      </c>
      <c r="J175" s="117" t="s">
        <v>532</v>
      </c>
      <c r="K175" s="468" t="s">
        <v>773</v>
      </c>
      <c r="L175" s="69"/>
    </row>
    <row r="176" spans="4:15" x14ac:dyDescent="0.25">
      <c r="E176" s="188" t="str">
        <f t="shared" si="4"/>
        <v>Name</v>
      </c>
      <c r="F176" s="118" t="s">
        <v>389</v>
      </c>
      <c r="G176" s="119" t="s">
        <v>621</v>
      </c>
      <c r="H176" s="117" t="s">
        <v>620</v>
      </c>
      <c r="I176" s="120" t="s">
        <v>619</v>
      </c>
      <c r="J176" s="117" t="s">
        <v>389</v>
      </c>
      <c r="K176" s="468" t="s">
        <v>774</v>
      </c>
      <c r="L176" s="69"/>
    </row>
    <row r="177" spans="5:12" ht="41.25" customHeight="1" x14ac:dyDescent="0.25">
      <c r="E177" s="188" t="str">
        <f t="shared" si="4"/>
        <v>Gruppen-kombination:</v>
      </c>
      <c r="F177" s="222" t="s">
        <v>1056</v>
      </c>
      <c r="G177" s="223" t="s">
        <v>1057</v>
      </c>
      <c r="H177" s="224" t="s">
        <v>1058</v>
      </c>
      <c r="I177" s="225" t="s">
        <v>1059</v>
      </c>
      <c r="J177" s="224" t="s">
        <v>1060</v>
      </c>
      <c r="K177" s="474" t="s">
        <v>1061</v>
      </c>
      <c r="L177" s="226"/>
    </row>
    <row r="178" spans="5:12" x14ac:dyDescent="0.25">
      <c r="E178" s="188" t="str">
        <f t="shared" si="4"/>
        <v>Erster der Gruppe</v>
      </c>
      <c r="F178" s="222" t="s">
        <v>1062</v>
      </c>
      <c r="G178" s="223" t="s">
        <v>1063</v>
      </c>
      <c r="H178" s="224" t="s">
        <v>1064</v>
      </c>
      <c r="I178" s="225" t="s">
        <v>1065</v>
      </c>
      <c r="J178" s="224" t="s">
        <v>1066</v>
      </c>
      <c r="K178" s="474" t="s">
        <v>1067</v>
      </c>
      <c r="L178" s="226"/>
    </row>
    <row r="179" spans="5:12" ht="32.25" customHeight="1" x14ac:dyDescent="0.25">
      <c r="E179" s="188" t="str">
        <f t="shared" si="4"/>
        <v>gegen Dritten der Gruppe</v>
      </c>
      <c r="F179" s="222" t="s">
        <v>1068</v>
      </c>
      <c r="G179" s="223" t="s">
        <v>1069</v>
      </c>
      <c r="H179" s="224" t="s">
        <v>1070</v>
      </c>
      <c r="I179" s="225" t="s">
        <v>1071</v>
      </c>
      <c r="J179" s="224" t="s">
        <v>1072</v>
      </c>
      <c r="K179" s="474" t="s">
        <v>1073</v>
      </c>
      <c r="L179" s="226"/>
    </row>
    <row r="180" spans="5:12" x14ac:dyDescent="0.25">
      <c r="E180" s="188" t="str">
        <f t="shared" si="4"/>
        <v>Gruppendritte</v>
      </c>
      <c r="F180" s="118" t="s">
        <v>1094</v>
      </c>
      <c r="G180" s="119" t="s">
        <v>1095</v>
      </c>
      <c r="H180" s="117" t="s">
        <v>1096</v>
      </c>
      <c r="I180" s="120" t="s">
        <v>1097</v>
      </c>
      <c r="J180" s="117" t="s">
        <v>1098</v>
      </c>
      <c r="K180" s="468" t="s">
        <v>1099</v>
      </c>
      <c r="L180" s="69"/>
    </row>
    <row r="181" spans="5:12" x14ac:dyDescent="0.25">
      <c r="E181" s="188" t="str">
        <f t="shared" si="4"/>
        <v>Grp</v>
      </c>
      <c r="F181" s="118" t="s">
        <v>1083</v>
      </c>
      <c r="G181" s="119" t="s">
        <v>1083</v>
      </c>
      <c r="H181" s="117" t="s">
        <v>1083</v>
      </c>
      <c r="I181" s="120" t="s">
        <v>1083</v>
      </c>
      <c r="J181" s="117" t="s">
        <v>1083</v>
      </c>
      <c r="K181" s="468" t="s">
        <v>1083</v>
      </c>
      <c r="L181" s="69"/>
    </row>
    <row r="182" spans="5:12" ht="30" customHeight="1" x14ac:dyDescent="0.25">
      <c r="E182" s="377" t="str">
        <f t="shared" si="4"/>
        <v>Gruppenkombination:</v>
      </c>
      <c r="F182" s="222" t="s">
        <v>1056</v>
      </c>
      <c r="G182" s="223" t="s">
        <v>1057</v>
      </c>
      <c r="H182" s="224" t="s">
        <v>1058</v>
      </c>
      <c r="I182" s="225" t="s">
        <v>1059</v>
      </c>
      <c r="J182" s="224" t="s">
        <v>1595</v>
      </c>
      <c r="K182" s="474" t="s">
        <v>1596</v>
      </c>
      <c r="L182" s="226"/>
    </row>
    <row r="183" spans="5:12" x14ac:dyDescent="0.25">
      <c r="E183" s="188" t="str">
        <f t="shared" si="4"/>
        <v>Nicht qualifiziert:</v>
      </c>
      <c r="F183" s="118" t="s">
        <v>1597</v>
      </c>
      <c r="G183" s="119" t="s">
        <v>1598</v>
      </c>
      <c r="H183" s="117" t="s">
        <v>1599</v>
      </c>
      <c r="I183" s="120" t="s">
        <v>1600</v>
      </c>
      <c r="J183" s="117" t="s">
        <v>1601</v>
      </c>
      <c r="K183" s="468" t="s">
        <v>1602</v>
      </c>
      <c r="L183" s="69"/>
    </row>
    <row r="184" spans="5:12" x14ac:dyDescent="0.25">
      <c r="E184" s="188" t="str">
        <f t="shared" si="4"/>
        <v>Fernsehsender</v>
      </c>
      <c r="F184" s="118" t="s">
        <v>1685</v>
      </c>
      <c r="G184" s="119" t="s">
        <v>1686</v>
      </c>
      <c r="H184" s="117" t="s">
        <v>1687</v>
      </c>
      <c r="I184" s="120" t="s">
        <v>1688</v>
      </c>
      <c r="J184" s="117" t="s">
        <v>1684</v>
      </c>
      <c r="K184" s="468" t="s">
        <v>1689</v>
      </c>
      <c r="L184" s="69"/>
    </row>
    <row r="185" spans="5:12" x14ac:dyDescent="0.25">
      <c r="E185" s="188" t="str">
        <f t="shared" si="4"/>
        <v>Austragungsort</v>
      </c>
      <c r="F185" s="118" t="s">
        <v>378</v>
      </c>
      <c r="G185" s="119" t="s">
        <v>1690</v>
      </c>
      <c r="H185" s="117" t="s">
        <v>1691</v>
      </c>
      <c r="I185" s="120" t="s">
        <v>1692</v>
      </c>
      <c r="J185" s="117" t="s">
        <v>1693</v>
      </c>
      <c r="K185" s="468" t="s">
        <v>1694</v>
      </c>
      <c r="L185" s="69"/>
    </row>
    <row r="186" spans="5:12" x14ac:dyDescent="0.25">
      <c r="E186" s="188" t="str">
        <f t="shared" si="4"/>
        <v>FIFA Rang</v>
      </c>
      <c r="F186" s="118" t="s">
        <v>1808</v>
      </c>
      <c r="G186" s="119" t="s">
        <v>1809</v>
      </c>
      <c r="H186" s="117" t="s">
        <v>1810</v>
      </c>
      <c r="I186" s="120" t="s">
        <v>1810</v>
      </c>
      <c r="J186" s="117" t="s">
        <v>1807</v>
      </c>
      <c r="K186" s="468" t="s">
        <v>1811</v>
      </c>
      <c r="L186" s="69"/>
    </row>
    <row r="187" spans="5:12" x14ac:dyDescent="0.25">
      <c r="E187" s="188">
        <f t="shared" si="4"/>
        <v>0</v>
      </c>
      <c r="F187" s="118"/>
      <c r="G187" s="119"/>
      <c r="H187" s="117"/>
      <c r="I187" s="120"/>
      <c r="J187" s="117"/>
      <c r="K187" s="468"/>
      <c r="L187" s="69"/>
    </row>
    <row r="188" spans="5:12" ht="28.5" x14ac:dyDescent="0.45">
      <c r="E188" s="188"/>
      <c r="F188" s="75" t="s">
        <v>191</v>
      </c>
      <c r="G188" s="76"/>
      <c r="H188" s="76"/>
      <c r="I188" s="76"/>
      <c r="J188" s="76"/>
      <c r="K188" s="465"/>
      <c r="L188" s="77"/>
    </row>
    <row r="189" spans="5:12" ht="54.75" customHeight="1" x14ac:dyDescent="0.25">
      <c r="E189" s="188" t="str">
        <f t="shared" si="4"/>
        <v>Gruppen mit Fair-Play-Wertung:</v>
      </c>
      <c r="F189" s="129" t="s">
        <v>1702</v>
      </c>
      <c r="G189" s="130" t="s">
        <v>1701</v>
      </c>
      <c r="H189" s="131" t="s">
        <v>1700</v>
      </c>
      <c r="I189" s="132" t="s">
        <v>1699</v>
      </c>
      <c r="J189" s="131" t="s">
        <v>1697</v>
      </c>
      <c r="K189" s="474" t="s">
        <v>1698</v>
      </c>
      <c r="L189" s="78"/>
    </row>
    <row r="190" spans="5:12" ht="51.75" customHeight="1" x14ac:dyDescent="0.25">
      <c r="E190" s="188" t="str">
        <f t="shared" si="4"/>
        <v>Die Platzierung ist in allen Gruppen geklärt.</v>
      </c>
      <c r="F190" s="129" t="s">
        <v>278</v>
      </c>
      <c r="G190" s="130" t="s">
        <v>281</v>
      </c>
      <c r="H190" s="131" t="s">
        <v>280</v>
      </c>
      <c r="I190" s="132" t="s">
        <v>279</v>
      </c>
      <c r="J190" s="131" t="s">
        <v>277</v>
      </c>
      <c r="K190" s="474" t="s">
        <v>775</v>
      </c>
      <c r="L190" s="78"/>
    </row>
    <row r="191" spans="5:12" ht="16.5" customHeight="1" x14ac:dyDescent="0.25">
      <c r="E191" s="188" t="str">
        <f t="shared" si="4"/>
        <v xml:space="preserve"> und </v>
      </c>
      <c r="F191" s="133" t="s">
        <v>304</v>
      </c>
      <c r="G191" s="134" t="s">
        <v>305</v>
      </c>
      <c r="H191" s="135" t="s">
        <v>306</v>
      </c>
      <c r="I191" s="136" t="s">
        <v>307</v>
      </c>
      <c r="J191" s="137" t="s">
        <v>308</v>
      </c>
      <c r="K191" s="474" t="s">
        <v>776</v>
      </c>
      <c r="L191" s="101"/>
    </row>
    <row r="192" spans="5:12" ht="20.25" customHeight="1" x14ac:dyDescent="0.25">
      <c r="E192" s="188" t="str">
        <f t="shared" si="4"/>
        <v>Unzulässiges Ergebnis!</v>
      </c>
      <c r="F192" s="138" t="s">
        <v>272</v>
      </c>
      <c r="G192" s="139" t="s">
        <v>274</v>
      </c>
      <c r="H192" s="140" t="s">
        <v>273</v>
      </c>
      <c r="I192" s="141" t="s">
        <v>275</v>
      </c>
      <c r="J192" s="140" t="s">
        <v>271</v>
      </c>
      <c r="K192" s="474" t="s">
        <v>777</v>
      </c>
      <c r="L192" s="79"/>
    </row>
    <row r="193" spans="5:12" ht="141.75" customHeight="1" x14ac:dyDescent="0.25">
      <c r="E193" s="188" t="str">
        <f t="shared" si="4"/>
        <v>Hier können die Minuspunkte der Fair-Play-Wertung eingetragen werden.</v>
      </c>
      <c r="F193" s="142" t="s">
        <v>1830</v>
      </c>
      <c r="G193" s="143" t="s">
        <v>1831</v>
      </c>
      <c r="H193" s="144" t="s">
        <v>1832</v>
      </c>
      <c r="I193" s="145" t="s">
        <v>1833</v>
      </c>
      <c r="J193" s="144" t="s">
        <v>1834</v>
      </c>
      <c r="K193" s="474" t="s">
        <v>1835</v>
      </c>
      <c r="L193" s="108"/>
    </row>
    <row r="194" spans="5:12" ht="35.25" customHeight="1" x14ac:dyDescent="0.25">
      <c r="E194" s="188" t="str">
        <f t="shared" si="4"/>
        <v>Hier klicken und
Zeitzone wählen:</v>
      </c>
      <c r="F194" s="142" t="s">
        <v>284</v>
      </c>
      <c r="G194" s="143" t="s">
        <v>370</v>
      </c>
      <c r="H194" s="144" t="s">
        <v>375</v>
      </c>
      <c r="I194" s="145" t="s">
        <v>374</v>
      </c>
      <c r="J194" s="165" t="s">
        <v>368</v>
      </c>
      <c r="K194" s="474" t="s">
        <v>778</v>
      </c>
      <c r="L194" s="108"/>
    </row>
    <row r="195" spans="5:12" ht="36.75" customHeight="1" x14ac:dyDescent="0.25">
      <c r="E195" s="188" t="str">
        <f t="shared" si="4"/>
        <v>Zeitzone des
Gastgeberlandes:</v>
      </c>
      <c r="F195" s="142" t="s">
        <v>383</v>
      </c>
      <c r="G195" s="143" t="s">
        <v>384</v>
      </c>
      <c r="H195" s="144" t="s">
        <v>386</v>
      </c>
      <c r="I195" s="145" t="s">
        <v>387</v>
      </c>
      <c r="J195" s="165" t="s">
        <v>385</v>
      </c>
      <c r="K195" s="474" t="s">
        <v>779</v>
      </c>
      <c r="L195" s="108"/>
    </row>
    <row r="196" spans="5:12" ht="38.25" customHeight="1" x14ac:dyDescent="0.25">
      <c r="E196" s="188" t="str">
        <f t="shared" si="4"/>
        <v>Hier klicken und Sprache wählen:</v>
      </c>
      <c r="F196" s="142" t="s">
        <v>112</v>
      </c>
      <c r="G196" s="143" t="s">
        <v>371</v>
      </c>
      <c r="H196" s="144" t="s">
        <v>372</v>
      </c>
      <c r="I196" s="145" t="s">
        <v>373</v>
      </c>
      <c r="J196" s="165" t="s">
        <v>369</v>
      </c>
      <c r="K196" s="474" t="s">
        <v>780</v>
      </c>
      <c r="L196" s="108"/>
    </row>
    <row r="197" spans="5:12" ht="16.5" customHeight="1" x14ac:dyDescent="0.25">
      <c r="E197" s="188" t="str">
        <f t="shared" si="4"/>
        <v xml:space="preserve"> : </v>
      </c>
      <c r="F197" s="133" t="s">
        <v>350</v>
      </c>
      <c r="G197" s="134" t="s">
        <v>350</v>
      </c>
      <c r="H197" s="135" t="s">
        <v>350</v>
      </c>
      <c r="I197" s="136" t="s">
        <v>350</v>
      </c>
      <c r="J197" s="137" t="s">
        <v>349</v>
      </c>
      <c r="K197" s="474" t="s">
        <v>349</v>
      </c>
      <c r="L197" s="101"/>
    </row>
    <row r="198" spans="5:12" ht="96" customHeight="1" x14ac:dyDescent="0.25">
      <c r="E198" s="188" t="str">
        <f t="shared" si="4"/>
        <v>Bei Sommerzeit muss die Zeitzone entsprechend angepasst werden (z. B. UTC+2 statt UTC+1)</v>
      </c>
      <c r="F198" s="142" t="s">
        <v>1012</v>
      </c>
      <c r="G198" s="143" t="s">
        <v>1013</v>
      </c>
      <c r="H198" s="144" t="s">
        <v>1014</v>
      </c>
      <c r="I198" s="145" t="s">
        <v>1015</v>
      </c>
      <c r="J198" s="165" t="s">
        <v>1016</v>
      </c>
      <c r="K198" s="259" t="s">
        <v>1017</v>
      </c>
      <c r="L198" s="108"/>
    </row>
    <row r="199" spans="5:12" ht="129" customHeight="1" x14ac:dyDescent="0.25">
      <c r="E199" s="188" t="str">
        <f t="shared" si="4"/>
        <v>Ein roter Punkt bedeutet, dass die Fair-Play-Wertung oder die FIFA-Weltrangliste über die Platzierung dieses Teams entscheidet</v>
      </c>
      <c r="F199" s="142" t="s">
        <v>1796</v>
      </c>
      <c r="G199" s="143" t="s">
        <v>1797</v>
      </c>
      <c r="H199" s="144" t="s">
        <v>1799</v>
      </c>
      <c r="I199" s="145" t="s">
        <v>1798</v>
      </c>
      <c r="J199" s="165" t="s">
        <v>1795</v>
      </c>
      <c r="K199" s="259" t="s">
        <v>1800</v>
      </c>
      <c r="L199" s="108"/>
    </row>
    <row r="200" spans="5:12" ht="18" customHeight="1" x14ac:dyDescent="0.25">
      <c r="E200" s="188">
        <f t="shared" si="4"/>
        <v>0</v>
      </c>
      <c r="F200" s="142"/>
      <c r="G200" s="143"/>
      <c r="H200" s="144"/>
      <c r="I200" s="145"/>
      <c r="J200" s="165"/>
      <c r="K200" s="259"/>
      <c r="L200" s="108"/>
    </row>
    <row r="201" spans="5:12" ht="15.75" thickBot="1" x14ac:dyDescent="0.3">
      <c r="E201" s="188">
        <f t="shared" si="4"/>
        <v>0</v>
      </c>
      <c r="F201" s="146"/>
      <c r="G201" s="147"/>
      <c r="H201" s="148"/>
      <c r="I201" s="149"/>
      <c r="J201" s="150"/>
      <c r="K201" s="469"/>
      <c r="L201" s="109"/>
    </row>
    <row r="202" spans="5:12" ht="16.5" thickTop="1" thickBot="1" x14ac:dyDescent="0.3">
      <c r="E202" s="188"/>
      <c r="K202" s="470"/>
    </row>
    <row r="203" spans="5:12" ht="29.25" thickTop="1" x14ac:dyDescent="0.45">
      <c r="E203" s="188"/>
      <c r="F203" s="72" t="s">
        <v>539</v>
      </c>
      <c r="G203" s="214"/>
      <c r="H203" s="214"/>
      <c r="I203" s="214"/>
      <c r="J203" s="214"/>
      <c r="K203" s="473"/>
      <c r="L203" s="215"/>
    </row>
    <row r="204" spans="5:12" x14ac:dyDescent="0.25">
      <c r="E204" s="188" t="str">
        <f t="shared" si="4"/>
        <v>Vorhersagen</v>
      </c>
      <c r="F204" s="118" t="s">
        <v>539</v>
      </c>
      <c r="G204" s="119" t="s">
        <v>578</v>
      </c>
      <c r="H204" s="117" t="s">
        <v>577</v>
      </c>
      <c r="I204" s="120" t="s">
        <v>576</v>
      </c>
      <c r="J204" s="117" t="s">
        <v>588</v>
      </c>
      <c r="K204" s="474" t="s">
        <v>781</v>
      </c>
      <c r="L204" s="101"/>
    </row>
    <row r="205" spans="5:12" x14ac:dyDescent="0.25">
      <c r="E205" s="188" t="str">
        <f t="shared" si="4"/>
        <v>Korrekte Ergebnisse</v>
      </c>
      <c r="F205" s="118" t="s">
        <v>540</v>
      </c>
      <c r="G205" s="119" t="s">
        <v>573</v>
      </c>
      <c r="H205" s="117" t="s">
        <v>574</v>
      </c>
      <c r="I205" s="120" t="s">
        <v>575</v>
      </c>
      <c r="J205" s="117" t="s">
        <v>541</v>
      </c>
      <c r="K205" s="474" t="s">
        <v>782</v>
      </c>
      <c r="L205" s="101"/>
    </row>
    <row r="206" spans="5:12" x14ac:dyDescent="0.25">
      <c r="E206" s="188" t="str">
        <f t="shared" si="4"/>
        <v>Ergebn.</v>
      </c>
      <c r="F206" s="118" t="s">
        <v>557</v>
      </c>
      <c r="G206" s="119" t="s">
        <v>572</v>
      </c>
      <c r="H206" s="117" t="s">
        <v>571</v>
      </c>
      <c r="I206" s="120" t="s">
        <v>570</v>
      </c>
      <c r="J206" s="117" t="s">
        <v>558</v>
      </c>
      <c r="K206" s="474" t="s">
        <v>783</v>
      </c>
      <c r="L206" s="101"/>
    </row>
    <row r="207" spans="5:12" x14ac:dyDescent="0.25">
      <c r="E207" s="188" t="str">
        <f t="shared" si="4"/>
        <v>Punkte:</v>
      </c>
      <c r="F207" s="118" t="s">
        <v>1670</v>
      </c>
      <c r="G207" s="119" t="s">
        <v>1672</v>
      </c>
      <c r="H207" s="117" t="s">
        <v>1673</v>
      </c>
      <c r="I207" s="120" t="s">
        <v>1670</v>
      </c>
      <c r="J207" s="117" t="s">
        <v>1669</v>
      </c>
      <c r="K207" s="474" t="s">
        <v>1671</v>
      </c>
      <c r="L207" s="101"/>
    </row>
    <row r="208" spans="5:12" x14ac:dyDescent="0.25">
      <c r="E208" s="188" t="str">
        <f t="shared" si="4"/>
        <v>Summe:</v>
      </c>
      <c r="F208" s="118" t="s">
        <v>188</v>
      </c>
      <c r="G208" s="119" t="s">
        <v>569</v>
      </c>
      <c r="H208" s="117" t="s">
        <v>568</v>
      </c>
      <c r="I208" s="120" t="s">
        <v>569</v>
      </c>
      <c r="J208" s="117" t="s">
        <v>562</v>
      </c>
      <c r="K208" s="474" t="s">
        <v>784</v>
      </c>
      <c r="L208" s="101"/>
    </row>
    <row r="209" spans="5:12" x14ac:dyDescent="0.25">
      <c r="E209" s="188" t="str">
        <f t="shared" si="4"/>
        <v>Ergebn.</v>
      </c>
      <c r="F209" s="118" t="s">
        <v>557</v>
      </c>
      <c r="G209" s="119" t="s">
        <v>634</v>
      </c>
      <c r="H209" s="117" t="s">
        <v>633</v>
      </c>
      <c r="I209" s="120" t="s">
        <v>632</v>
      </c>
      <c r="J209" s="117" t="s">
        <v>558</v>
      </c>
      <c r="K209" s="474" t="s">
        <v>634</v>
      </c>
      <c r="L209" s="101"/>
    </row>
    <row r="210" spans="5:12" x14ac:dyDescent="0.25">
      <c r="E210" s="188" t="str">
        <f t="shared" si="4"/>
        <v>G/U/V</v>
      </c>
      <c r="F210" s="118" t="s">
        <v>628</v>
      </c>
      <c r="G210" s="119" t="s">
        <v>629</v>
      </c>
      <c r="H210" s="117" t="s">
        <v>630</v>
      </c>
      <c r="I210" s="120" t="s">
        <v>631</v>
      </c>
      <c r="J210" s="117" t="s">
        <v>627</v>
      </c>
      <c r="K210" s="474" t="s">
        <v>785</v>
      </c>
      <c r="L210" s="101"/>
    </row>
    <row r="211" spans="5:12" x14ac:dyDescent="0.25">
      <c r="E211" s="188" t="str">
        <f t="shared" si="4"/>
        <v>TD</v>
      </c>
      <c r="F211" s="118" t="s">
        <v>189</v>
      </c>
      <c r="G211" s="119" t="s">
        <v>637</v>
      </c>
      <c r="H211" s="117" t="s">
        <v>635</v>
      </c>
      <c r="I211" s="120" t="s">
        <v>636</v>
      </c>
      <c r="J211" s="117" t="s">
        <v>638</v>
      </c>
      <c r="K211" s="474" t="s">
        <v>811</v>
      </c>
      <c r="L211" s="101"/>
    </row>
    <row r="212" spans="5:12" x14ac:dyDescent="0.25">
      <c r="E212" s="188" t="str">
        <f t="shared" si="4"/>
        <v>exakt</v>
      </c>
      <c r="F212" s="118" t="s">
        <v>560</v>
      </c>
      <c r="G212" s="119" t="s">
        <v>563</v>
      </c>
      <c r="H212" s="117" t="s">
        <v>564</v>
      </c>
      <c r="I212" s="120" t="s">
        <v>563</v>
      </c>
      <c r="J212" s="117" t="s">
        <v>559</v>
      </c>
      <c r="K212" s="474" t="s">
        <v>560</v>
      </c>
      <c r="L212" s="101"/>
    </row>
    <row r="213" spans="5:12" x14ac:dyDescent="0.25">
      <c r="E213" s="188" t="str">
        <f t="shared" si="4"/>
        <v>Teams</v>
      </c>
      <c r="F213" s="118" t="s">
        <v>561</v>
      </c>
      <c r="G213" s="119" t="s">
        <v>565</v>
      </c>
      <c r="H213" s="117" t="s">
        <v>566</v>
      </c>
      <c r="I213" s="120" t="s">
        <v>567</v>
      </c>
      <c r="J213" s="117" t="s">
        <v>302</v>
      </c>
      <c r="K213" s="474" t="s">
        <v>561</v>
      </c>
      <c r="L213" s="101"/>
    </row>
    <row r="214" spans="5:12" x14ac:dyDescent="0.25">
      <c r="E214" s="188" t="str">
        <f t="shared" ref="E214" si="5">IF($C$3,F214,IF($C$4,G214,IF($C$5,H214,IF($C$6,I214,IF($C$7,J214,IF($C$8,K214,IF(L214&lt;&gt;"",L214,F214)))))))</f>
        <v>Sechzehntelfinale</v>
      </c>
      <c r="F214" s="118" t="s">
        <v>870</v>
      </c>
      <c r="G214" s="119" t="s">
        <v>871</v>
      </c>
      <c r="H214" s="117" t="s">
        <v>873</v>
      </c>
      <c r="I214" s="120" t="s">
        <v>874</v>
      </c>
      <c r="J214" s="117" t="s">
        <v>869</v>
      </c>
      <c r="K214" s="474" t="s">
        <v>872</v>
      </c>
      <c r="L214" s="101"/>
    </row>
    <row r="215" spans="5:12" x14ac:dyDescent="0.25">
      <c r="E215" s="188" t="str">
        <f t="shared" ref="E215:E247" si="6">IF($C$3,F215,IF($C$4,G215,IF($C$5,H215,IF($C$6,I215,IF($C$7,J215,IF($C$8,K215,IF(L215&lt;&gt;"",L215,F215)))))))</f>
        <v>Achtelfinale</v>
      </c>
      <c r="F215" s="118" t="s">
        <v>542</v>
      </c>
      <c r="G215" s="119" t="s">
        <v>543</v>
      </c>
      <c r="H215" s="117" t="s">
        <v>544</v>
      </c>
      <c r="I215" s="120" t="s">
        <v>545</v>
      </c>
      <c r="J215" s="117" t="s">
        <v>546</v>
      </c>
      <c r="K215" s="474" t="s">
        <v>786</v>
      </c>
      <c r="L215" s="101"/>
    </row>
    <row r="216" spans="5:12" x14ac:dyDescent="0.25">
      <c r="E216" s="188" t="str">
        <f t="shared" si="6"/>
        <v>Viertelfinale</v>
      </c>
      <c r="F216" s="162" t="s">
        <v>547</v>
      </c>
      <c r="G216" s="119" t="s">
        <v>548</v>
      </c>
      <c r="H216" s="117" t="s">
        <v>549</v>
      </c>
      <c r="I216" s="120" t="s">
        <v>550</v>
      </c>
      <c r="J216" s="117" t="s">
        <v>551</v>
      </c>
      <c r="K216" s="474" t="s">
        <v>787</v>
      </c>
      <c r="L216" s="101"/>
    </row>
    <row r="217" spans="5:12" x14ac:dyDescent="0.25">
      <c r="E217" s="188" t="str">
        <f t="shared" si="6"/>
        <v>Halbfinale</v>
      </c>
      <c r="F217" s="118" t="s">
        <v>552</v>
      </c>
      <c r="G217" s="119" t="s">
        <v>553</v>
      </c>
      <c r="H217" s="117" t="s">
        <v>554</v>
      </c>
      <c r="I217" s="120" t="s">
        <v>555</v>
      </c>
      <c r="J217" s="117" t="s">
        <v>556</v>
      </c>
      <c r="K217" s="474" t="s">
        <v>788</v>
      </c>
      <c r="L217" s="101"/>
    </row>
    <row r="218" spans="5:12" x14ac:dyDescent="0.25">
      <c r="E218" s="188" t="str">
        <f t="shared" si="6"/>
        <v>Dritter Platz</v>
      </c>
      <c r="F218" s="118" t="s">
        <v>151</v>
      </c>
      <c r="G218" s="119" t="s">
        <v>380</v>
      </c>
      <c r="H218" s="117" t="s">
        <v>381</v>
      </c>
      <c r="I218" s="120" t="s">
        <v>241</v>
      </c>
      <c r="J218" s="117" t="s">
        <v>166</v>
      </c>
      <c r="K218" s="474" t="s">
        <v>772</v>
      </c>
      <c r="L218" s="101"/>
    </row>
    <row r="219" spans="5:12" x14ac:dyDescent="0.25">
      <c r="E219" s="188" t="str">
        <f t="shared" si="6"/>
        <v>Finale</v>
      </c>
      <c r="F219" s="118" t="s">
        <v>55</v>
      </c>
      <c r="G219" s="119" t="s">
        <v>55</v>
      </c>
      <c r="H219" s="117" t="s">
        <v>167</v>
      </c>
      <c r="I219" s="120" t="s">
        <v>55</v>
      </c>
      <c r="J219" s="117" t="s">
        <v>167</v>
      </c>
      <c r="K219" s="474" t="s">
        <v>167</v>
      </c>
      <c r="L219" s="101"/>
    </row>
    <row r="220" spans="5:12" x14ac:dyDescent="0.25">
      <c r="E220" s="188" t="str">
        <f t="shared" si="6"/>
        <v>Weltmeister</v>
      </c>
      <c r="F220" s="192" t="s">
        <v>986</v>
      </c>
      <c r="G220" s="116" t="s">
        <v>987</v>
      </c>
      <c r="H220" s="193" t="s">
        <v>988</v>
      </c>
      <c r="I220" s="194" t="s">
        <v>989</v>
      </c>
      <c r="J220" s="193" t="s">
        <v>990</v>
      </c>
      <c r="K220" s="474" t="s">
        <v>991</v>
      </c>
      <c r="L220" s="221"/>
    </row>
    <row r="221" spans="5:12" x14ac:dyDescent="0.25">
      <c r="E221" s="188" t="str">
        <f t="shared" si="6"/>
        <v>Hinweis</v>
      </c>
      <c r="F221" s="192" t="s">
        <v>579</v>
      </c>
      <c r="G221" s="116" t="s">
        <v>581</v>
      </c>
      <c r="H221" s="193" t="s">
        <v>582</v>
      </c>
      <c r="I221" s="194" t="s">
        <v>583</v>
      </c>
      <c r="J221" s="193" t="s">
        <v>580</v>
      </c>
      <c r="K221" s="474" t="s">
        <v>789</v>
      </c>
      <c r="L221" s="221"/>
    </row>
    <row r="222" spans="5:12" x14ac:dyDescent="0.25">
      <c r="E222" s="188" t="str">
        <f t="shared" si="6"/>
        <v>Faktoren</v>
      </c>
      <c r="F222" s="192" t="s">
        <v>536</v>
      </c>
      <c r="G222" s="116" t="s">
        <v>587</v>
      </c>
      <c r="H222" s="193" t="s">
        <v>586</v>
      </c>
      <c r="I222" s="194" t="s">
        <v>585</v>
      </c>
      <c r="J222" s="193" t="s">
        <v>584</v>
      </c>
      <c r="K222" s="474" t="s">
        <v>790</v>
      </c>
      <c r="L222" s="221"/>
    </row>
    <row r="223" spans="5:12" x14ac:dyDescent="0.25">
      <c r="E223" s="188" t="str">
        <f t="shared" si="6"/>
        <v>Einstellungen</v>
      </c>
      <c r="F223" s="192" t="s">
        <v>644</v>
      </c>
      <c r="G223" s="116" t="s">
        <v>646</v>
      </c>
      <c r="H223" s="193" t="s">
        <v>647</v>
      </c>
      <c r="I223" s="194" t="s">
        <v>648</v>
      </c>
      <c r="J223" s="193" t="s">
        <v>645</v>
      </c>
      <c r="K223" s="474" t="s">
        <v>791</v>
      </c>
      <c r="L223" s="221"/>
    </row>
    <row r="224" spans="5:12" x14ac:dyDescent="0.25">
      <c r="E224" s="188" t="str">
        <f t="shared" si="6"/>
        <v>gr. Anz.</v>
      </c>
      <c r="F224" s="118" t="s">
        <v>643</v>
      </c>
      <c r="G224" s="119" t="s">
        <v>642</v>
      </c>
      <c r="H224" s="117" t="s">
        <v>639</v>
      </c>
      <c r="I224" s="120" t="s">
        <v>640</v>
      </c>
      <c r="J224" s="117" t="s">
        <v>641</v>
      </c>
      <c r="K224" s="474" t="s">
        <v>792</v>
      </c>
      <c r="L224" s="221"/>
    </row>
    <row r="225" spans="5:12" ht="31.5" customHeight="1" x14ac:dyDescent="0.25">
      <c r="E225" s="188" t="str">
        <f t="shared" si="6"/>
        <v>Gewonnen/Unentschieden/Verloren:</v>
      </c>
      <c r="F225" s="142" t="s">
        <v>676</v>
      </c>
      <c r="G225" s="143" t="s">
        <v>675</v>
      </c>
      <c r="H225" s="144" t="s">
        <v>674</v>
      </c>
      <c r="I225" s="145" t="s">
        <v>673</v>
      </c>
      <c r="J225" s="144" t="s">
        <v>672</v>
      </c>
      <c r="K225" s="474" t="s">
        <v>793</v>
      </c>
      <c r="L225" s="108"/>
    </row>
    <row r="226" spans="5:12" ht="15" customHeight="1" x14ac:dyDescent="0.25">
      <c r="E226" s="188" t="str">
        <f t="shared" si="6"/>
        <v>Tordifferenz:</v>
      </c>
      <c r="F226" s="142" t="s">
        <v>604</v>
      </c>
      <c r="G226" s="143" t="s">
        <v>605</v>
      </c>
      <c r="H226" s="144" t="s">
        <v>606</v>
      </c>
      <c r="I226" s="145" t="s">
        <v>607</v>
      </c>
      <c r="J226" s="144" t="s">
        <v>608</v>
      </c>
      <c r="K226" s="474" t="s">
        <v>794</v>
      </c>
      <c r="L226" s="108"/>
    </row>
    <row r="227" spans="5:12" ht="46.5" customHeight="1" x14ac:dyDescent="0.25">
      <c r="E227" s="188" t="str">
        <f t="shared" si="6"/>
        <v>Viele Tore - gute Annäherung</v>
      </c>
      <c r="F227" s="142" t="s">
        <v>679</v>
      </c>
      <c r="G227" s="143" t="s">
        <v>680</v>
      </c>
      <c r="H227" s="144" t="s">
        <v>681</v>
      </c>
      <c r="I227" s="145" t="s">
        <v>677</v>
      </c>
      <c r="J227" s="144" t="s">
        <v>678</v>
      </c>
      <c r="K227" s="474" t="s">
        <v>795</v>
      </c>
      <c r="L227" s="108"/>
    </row>
    <row r="228" spans="5:12" ht="15" customHeight="1" x14ac:dyDescent="0.25">
      <c r="E228" s="188" t="str">
        <f t="shared" si="6"/>
        <v>Tore exakt:</v>
      </c>
      <c r="F228" s="142" t="s">
        <v>613</v>
      </c>
      <c r="G228" s="143" t="s">
        <v>612</v>
      </c>
      <c r="H228" s="144" t="s">
        <v>611</v>
      </c>
      <c r="I228" s="145" t="s">
        <v>610</v>
      </c>
      <c r="J228" s="144" t="s">
        <v>609</v>
      </c>
      <c r="K228" s="474" t="s">
        <v>796</v>
      </c>
      <c r="L228" s="108"/>
    </row>
    <row r="229" spans="5:12" ht="35.25" customHeight="1" x14ac:dyDescent="0.25">
      <c r="E229" s="188" t="str">
        <f t="shared" si="6"/>
        <v>korrektes Team (KO-Phase):</v>
      </c>
      <c r="F229" s="142" t="s">
        <v>690</v>
      </c>
      <c r="G229" s="143" t="s">
        <v>689</v>
      </c>
      <c r="H229" s="144" t="s">
        <v>691</v>
      </c>
      <c r="I229" s="145" t="s">
        <v>688</v>
      </c>
      <c r="J229" s="144" t="s">
        <v>687</v>
      </c>
      <c r="K229" s="474" t="s">
        <v>797</v>
      </c>
      <c r="L229" s="108"/>
    </row>
    <row r="230" spans="5:12" ht="137.25" customHeight="1" x14ac:dyDescent="0.25">
      <c r="E230" s="188" t="str">
        <f t="shared" si="6"/>
        <v>Um zum Beispiel zehn weitere Personen hinzuzufügen, selektiere die Spalten HI bis MG und kopiere sie nach rechts. Fertig. (Blattschutz entfernen!)</v>
      </c>
      <c r="F230" s="142" t="s">
        <v>875</v>
      </c>
      <c r="G230" s="143" t="s">
        <v>876</v>
      </c>
      <c r="H230" s="144" t="s">
        <v>877</v>
      </c>
      <c r="I230" s="145" t="s">
        <v>878</v>
      </c>
      <c r="J230" s="144" t="s">
        <v>879</v>
      </c>
      <c r="K230" s="474" t="s">
        <v>880</v>
      </c>
      <c r="L230" s="108"/>
    </row>
    <row r="231" spans="5:12" ht="94.5" customHeight="1" x14ac:dyDescent="0.25">
      <c r="E231" s="188" t="str">
        <f t="shared" si="6"/>
        <v>Um die Teams in der KO-Runde vorherzusagen, gib in den gelben Feldern die Nummern der Teams ein.</v>
      </c>
      <c r="F231" s="142" t="s">
        <v>626</v>
      </c>
      <c r="G231" s="143" t="s">
        <v>625</v>
      </c>
      <c r="H231" s="144" t="s">
        <v>624</v>
      </c>
      <c r="I231" s="145" t="s">
        <v>623</v>
      </c>
      <c r="J231" s="144" t="s">
        <v>622</v>
      </c>
      <c r="K231" s="474" t="s">
        <v>798</v>
      </c>
      <c r="L231" s="108"/>
    </row>
    <row r="232" spans="5:12" ht="109.5" customHeight="1" x14ac:dyDescent="0.25">
      <c r="E232" s="188" t="str">
        <f t="shared" si="6"/>
        <v>Auf dem Tabellenblatt 'PrSettings' können die Faktoren für die einzelnen Kategorien und weitere Voreinstellungen gewählt werden.</v>
      </c>
      <c r="F232" s="142" t="s">
        <v>685</v>
      </c>
      <c r="G232" s="143" t="s">
        <v>684</v>
      </c>
      <c r="H232" s="144" t="s">
        <v>683</v>
      </c>
      <c r="I232" s="145" t="s">
        <v>686</v>
      </c>
      <c r="J232" s="144" t="s">
        <v>682</v>
      </c>
      <c r="K232" s="474" t="s">
        <v>799</v>
      </c>
      <c r="L232" s="108"/>
    </row>
    <row r="233" spans="5:12" x14ac:dyDescent="0.25">
      <c r="E233" s="188" t="str">
        <f t="shared" si="6"/>
        <v>Zugriff auf die Datei</v>
      </c>
      <c r="F233" s="222" t="s">
        <v>589</v>
      </c>
      <c r="G233" s="223" t="s">
        <v>591</v>
      </c>
      <c r="H233" s="224" t="s">
        <v>592</v>
      </c>
      <c r="I233" s="225" t="s">
        <v>593</v>
      </c>
      <c r="J233" s="224" t="s">
        <v>590</v>
      </c>
      <c r="K233" s="474" t="s">
        <v>800</v>
      </c>
      <c r="L233" s="226"/>
    </row>
    <row r="234" spans="5:12" x14ac:dyDescent="0.25">
      <c r="E234" s="188" t="str">
        <f t="shared" si="6"/>
        <v>Tabellenblatt</v>
      </c>
      <c r="F234" s="142" t="s">
        <v>595</v>
      </c>
      <c r="G234" s="143" t="s">
        <v>597</v>
      </c>
      <c r="H234" s="144" t="s">
        <v>598</v>
      </c>
      <c r="I234" s="145" t="s">
        <v>596</v>
      </c>
      <c r="J234" s="144" t="s">
        <v>594</v>
      </c>
      <c r="K234" s="474" t="s">
        <v>801</v>
      </c>
      <c r="L234" s="108"/>
    </row>
    <row r="235" spans="5:12" ht="38.25" customHeight="1" x14ac:dyDescent="0.25">
      <c r="E235" s="188" t="str">
        <f t="shared" si="6"/>
        <v>Gewinner im Finale/Dritter Platz:</v>
      </c>
      <c r="F235" s="227" t="s">
        <v>599</v>
      </c>
      <c r="G235" s="228" t="s">
        <v>600</v>
      </c>
      <c r="H235" s="229" t="s">
        <v>601</v>
      </c>
      <c r="I235" s="230" t="s">
        <v>602</v>
      </c>
      <c r="J235" s="229" t="s">
        <v>603</v>
      </c>
      <c r="K235" s="474" t="s">
        <v>802</v>
      </c>
      <c r="L235" s="231"/>
    </row>
    <row r="236" spans="5:12" ht="45" x14ac:dyDescent="0.25">
      <c r="E236" s="188" t="str">
        <f t="shared" si="6"/>
        <v>Punkte für die Tordifferenz bei Unentschieden:</v>
      </c>
      <c r="F236" s="222" t="s">
        <v>651</v>
      </c>
      <c r="G236" s="223" t="s">
        <v>652</v>
      </c>
      <c r="H236" s="224" t="s">
        <v>653</v>
      </c>
      <c r="I236" s="225" t="s">
        <v>650</v>
      </c>
      <c r="J236" s="224" t="s">
        <v>649</v>
      </c>
      <c r="K236" s="474" t="s">
        <v>803</v>
      </c>
      <c r="L236" s="226"/>
    </row>
    <row r="237" spans="5:12" x14ac:dyDescent="0.25">
      <c r="E237" s="188" t="str">
        <f t="shared" si="6"/>
        <v>ja</v>
      </c>
      <c r="F237" s="222" t="s">
        <v>656</v>
      </c>
      <c r="G237" s="223" t="s">
        <v>659</v>
      </c>
      <c r="H237" s="224" t="s">
        <v>658</v>
      </c>
      <c r="I237" s="225" t="s">
        <v>660</v>
      </c>
      <c r="J237" s="224" t="s">
        <v>654</v>
      </c>
      <c r="K237" s="474" t="s">
        <v>654</v>
      </c>
      <c r="L237" s="226"/>
    </row>
    <row r="238" spans="5:12" x14ac:dyDescent="0.25">
      <c r="E238" s="188" t="str">
        <f t="shared" si="6"/>
        <v>nein</v>
      </c>
      <c r="F238" s="222" t="s">
        <v>657</v>
      </c>
      <c r="G238" s="223" t="s">
        <v>657</v>
      </c>
      <c r="H238" s="224" t="s">
        <v>657</v>
      </c>
      <c r="I238" s="225" t="s">
        <v>661</v>
      </c>
      <c r="J238" s="224" t="s">
        <v>655</v>
      </c>
      <c r="K238" s="474" t="s">
        <v>804</v>
      </c>
      <c r="L238" s="226"/>
    </row>
    <row r="239" spans="5:12" ht="51" customHeight="1" x14ac:dyDescent="0.25">
      <c r="E239" s="188" t="str">
        <f t="shared" si="6"/>
        <v>Mindestanzahl für 'Viele Tore' bei Unentschieden:</v>
      </c>
      <c r="F239" s="142" t="s">
        <v>662</v>
      </c>
      <c r="G239" s="143" t="s">
        <v>663</v>
      </c>
      <c r="H239" s="144" t="s">
        <v>664</v>
      </c>
      <c r="I239" s="145" t="s">
        <v>671</v>
      </c>
      <c r="J239" s="144" t="s">
        <v>665</v>
      </c>
      <c r="K239" s="474" t="s">
        <v>805</v>
      </c>
      <c r="L239" s="108"/>
    </row>
    <row r="240" spans="5:12" ht="60" x14ac:dyDescent="0.25">
      <c r="E240" s="188" t="str">
        <f t="shared" si="6"/>
        <v>Mindestanzahl für eine große Tordifferenz:</v>
      </c>
      <c r="F240" s="142" t="s">
        <v>670</v>
      </c>
      <c r="G240" s="143" t="s">
        <v>669</v>
      </c>
      <c r="H240" s="144" t="s">
        <v>668</v>
      </c>
      <c r="I240" s="145" t="s">
        <v>667</v>
      </c>
      <c r="J240" s="144" t="s">
        <v>666</v>
      </c>
      <c r="K240" s="474" t="s">
        <v>806</v>
      </c>
      <c r="L240" s="108"/>
    </row>
    <row r="241" spans="5:12" ht="409.5" x14ac:dyDescent="0.25">
      <c r="E241" s="188" t="str">
        <f t="shared" si="6"/>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41" s="142" t="s">
        <v>708</v>
      </c>
      <c r="G241" s="143" t="s">
        <v>711</v>
      </c>
      <c r="H241" s="144" t="s">
        <v>709</v>
      </c>
      <c r="I241" s="145" t="s">
        <v>710</v>
      </c>
      <c r="J241" s="144" t="s">
        <v>707</v>
      </c>
      <c r="K241" s="474" t="s">
        <v>807</v>
      </c>
      <c r="L241" s="108"/>
    </row>
    <row r="242" spans="5:12" ht="258.75" customHeight="1" x14ac:dyDescent="0.25">
      <c r="E242" s="188" t="str">
        <f t="shared" si="6"/>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42" s="142" t="s">
        <v>694</v>
      </c>
      <c r="G242" s="143" t="s">
        <v>695</v>
      </c>
      <c r="H242" s="144" t="s">
        <v>696</v>
      </c>
      <c r="I242" s="145" t="s">
        <v>693</v>
      </c>
      <c r="J242" s="144" t="s">
        <v>692</v>
      </c>
      <c r="K242" s="474" t="s">
        <v>808</v>
      </c>
      <c r="L242" s="108"/>
    </row>
    <row r="243" spans="5:12" ht="47.25" customHeight="1" x14ac:dyDescent="0.25">
      <c r="E243" s="188" t="str">
        <f t="shared" si="6"/>
        <v>Mindestanzahl für eine große Summe an Toren:</v>
      </c>
      <c r="F243" s="142" t="s">
        <v>697</v>
      </c>
      <c r="G243" s="143" t="s">
        <v>698</v>
      </c>
      <c r="H243" s="144" t="s">
        <v>699</v>
      </c>
      <c r="I243" s="145" t="s">
        <v>700</v>
      </c>
      <c r="J243" s="144" t="s">
        <v>701</v>
      </c>
      <c r="K243" s="474" t="s">
        <v>809</v>
      </c>
      <c r="L243" s="108"/>
    </row>
    <row r="244" spans="5:12" ht="242.25" customHeight="1" x14ac:dyDescent="0.25">
      <c r="E244" s="188" t="str">
        <f t="shared" si="6"/>
        <v>Im Achtelfinale, Viertelfinale und Halbfinale wird das Ergebnis ohne Elfmeterschießen vorhergesagt. Es kann also auch ein Unentschieden eingetragen werden. Im Finale und im Spiel um den dritten Platz muss das Gesamtergebnis (mit Elfmeterschießen) eingetragen werden.</v>
      </c>
      <c r="F244" s="142" t="s">
        <v>702</v>
      </c>
      <c r="G244" s="143" t="s">
        <v>705</v>
      </c>
      <c r="H244" s="144" t="s">
        <v>703</v>
      </c>
      <c r="I244" s="145" t="s">
        <v>704</v>
      </c>
      <c r="J244" s="144" t="s">
        <v>706</v>
      </c>
      <c r="K244" s="474" t="s">
        <v>810</v>
      </c>
      <c r="L244" s="108"/>
    </row>
    <row r="245" spans="5:12" ht="18.75" customHeight="1" x14ac:dyDescent="0.25">
      <c r="E245" s="188" t="str">
        <f t="shared" si="6"/>
        <v>Anzahl:</v>
      </c>
      <c r="F245" s="118" t="s">
        <v>1664</v>
      </c>
      <c r="G245" s="119" t="s">
        <v>1667</v>
      </c>
      <c r="H245" s="117" t="s">
        <v>1666</v>
      </c>
      <c r="I245" s="120" t="s">
        <v>1665</v>
      </c>
      <c r="J245" s="117" t="s">
        <v>1663</v>
      </c>
      <c r="K245" s="474" t="s">
        <v>1668</v>
      </c>
      <c r="L245" s="101"/>
    </row>
    <row r="246" spans="5:12" ht="47.25" customHeight="1" x14ac:dyDescent="0.25">
      <c r="E246" s="188">
        <f t="shared" si="6"/>
        <v>0</v>
      </c>
      <c r="F246" s="142"/>
      <c r="G246" s="143"/>
      <c r="H246" s="144"/>
      <c r="I246" s="145"/>
      <c r="J246" s="144"/>
      <c r="K246" s="468"/>
      <c r="L246" s="108"/>
    </row>
    <row r="247" spans="5:12" ht="15.75" thickBot="1" x14ac:dyDescent="0.3">
      <c r="E247" s="188">
        <f t="shared" si="6"/>
        <v>0</v>
      </c>
      <c r="F247" s="216"/>
      <c r="G247" s="217"/>
      <c r="H247" s="218"/>
      <c r="I247" s="219"/>
      <c r="J247" s="218"/>
      <c r="K247" s="476"/>
      <c r="L247" s="220"/>
    </row>
    <row r="248" spans="5:12" ht="16.5" thickTop="1" thickBot="1" x14ac:dyDescent="0.3">
      <c r="K248" s="71"/>
    </row>
    <row r="249" spans="5:12" ht="29.25" thickTop="1" x14ac:dyDescent="0.45">
      <c r="E249" s="188"/>
      <c r="F249" s="72" t="s">
        <v>1617</v>
      </c>
      <c r="G249" s="214"/>
      <c r="H249" s="214"/>
      <c r="I249" s="214"/>
      <c r="J249" s="214"/>
      <c r="K249" s="473"/>
      <c r="L249" s="215"/>
    </row>
    <row r="250" spans="5:12" x14ac:dyDescent="0.25">
      <c r="E250" s="188" t="str">
        <f t="shared" ref="E250:E261" si="7">IF($C$3,F250,IF($C$4,G250,IF($C$5,H250,IF($C$6,I250,IF($C$7,J250,IF($C$8,K250,IF(L250&lt;&gt;"",L250,F250)))))))</f>
        <v>Täglicher Spielplan</v>
      </c>
      <c r="F250" s="118" t="s">
        <v>1617</v>
      </c>
      <c r="G250" s="119" t="s">
        <v>1618</v>
      </c>
      <c r="H250" s="117" t="s">
        <v>1619</v>
      </c>
      <c r="I250" s="120" t="s">
        <v>1620</v>
      </c>
      <c r="J250" s="117" t="s">
        <v>1621</v>
      </c>
      <c r="K250" s="474" t="s">
        <v>1622</v>
      </c>
      <c r="L250" s="101"/>
    </row>
    <row r="251" spans="5:12" x14ac:dyDescent="0.25">
      <c r="E251" s="188" t="str">
        <f t="shared" si="7"/>
        <v>Spiel Nr.</v>
      </c>
      <c r="F251" s="118" t="s">
        <v>379</v>
      </c>
      <c r="G251" s="119" t="s">
        <v>1623</v>
      </c>
      <c r="H251" s="117" t="s">
        <v>1624</v>
      </c>
      <c r="I251" s="120" t="s">
        <v>1625</v>
      </c>
      <c r="J251" s="117" t="s">
        <v>1626</v>
      </c>
      <c r="K251" s="474" t="s">
        <v>1627</v>
      </c>
      <c r="L251" s="101"/>
    </row>
    <row r="252" spans="5:12" x14ac:dyDescent="0.25">
      <c r="E252" s="188" t="str">
        <f t="shared" si="7"/>
        <v>Teams</v>
      </c>
      <c r="F252" s="118" t="s">
        <v>302</v>
      </c>
      <c r="G252" s="119" t="s">
        <v>1628</v>
      </c>
      <c r="H252" s="117" t="s">
        <v>1629</v>
      </c>
      <c r="I252" s="120" t="s">
        <v>1630</v>
      </c>
      <c r="J252" s="117" t="s">
        <v>302</v>
      </c>
      <c r="K252" s="474" t="s">
        <v>302</v>
      </c>
      <c r="L252" s="101"/>
    </row>
    <row r="253" spans="5:12" x14ac:dyDescent="0.25">
      <c r="E253" s="188" t="str">
        <f t="shared" si="7"/>
        <v>Zeit</v>
      </c>
      <c r="F253" s="118" t="s">
        <v>1631</v>
      </c>
      <c r="G253" s="119" t="s">
        <v>1632</v>
      </c>
      <c r="H253" s="117" t="s">
        <v>1633</v>
      </c>
      <c r="I253" s="120" t="s">
        <v>1634</v>
      </c>
      <c r="J253" s="117" t="s">
        <v>1635</v>
      </c>
      <c r="K253" s="474" t="s">
        <v>1636</v>
      </c>
      <c r="L253" s="101"/>
    </row>
    <row r="254" spans="5:12" x14ac:dyDescent="0.25">
      <c r="E254" s="188" t="str">
        <f t="shared" si="7"/>
        <v>Team 1</v>
      </c>
      <c r="F254" s="118" t="s">
        <v>282</v>
      </c>
      <c r="G254" s="119" t="s">
        <v>1637</v>
      </c>
      <c r="H254" s="117" t="s">
        <v>1638</v>
      </c>
      <c r="I254" s="120" t="s">
        <v>1639</v>
      </c>
      <c r="J254" s="117" t="s">
        <v>282</v>
      </c>
      <c r="K254" s="474" t="s">
        <v>282</v>
      </c>
      <c r="L254" s="101"/>
    </row>
    <row r="255" spans="5:12" x14ac:dyDescent="0.25">
      <c r="E255" s="188" t="str">
        <f t="shared" si="7"/>
        <v>Team 2</v>
      </c>
      <c r="F255" s="118" t="s">
        <v>283</v>
      </c>
      <c r="G255" s="119" t="s">
        <v>1640</v>
      </c>
      <c r="H255" s="117" t="s">
        <v>1641</v>
      </c>
      <c r="I255" s="120" t="s">
        <v>1642</v>
      </c>
      <c r="J255" s="117" t="s">
        <v>283</v>
      </c>
      <c r="K255" s="474" t="s">
        <v>283</v>
      </c>
      <c r="L255" s="101"/>
    </row>
    <row r="256" spans="5:12" x14ac:dyDescent="0.25">
      <c r="E256" s="188" t="str">
        <f t="shared" si="7"/>
        <v>Sechzehntelfinale</v>
      </c>
      <c r="F256" s="118" t="s">
        <v>870</v>
      </c>
      <c r="G256" s="119" t="s">
        <v>1660</v>
      </c>
      <c r="H256" s="117" t="s">
        <v>873</v>
      </c>
      <c r="I256" s="120" t="s">
        <v>1661</v>
      </c>
      <c r="J256" s="117" t="s">
        <v>869</v>
      </c>
      <c r="K256" s="468" t="s">
        <v>1662</v>
      </c>
      <c r="L256" s="69"/>
    </row>
    <row r="257" spans="5:12" x14ac:dyDescent="0.25">
      <c r="E257" s="188" t="str">
        <f t="shared" si="7"/>
        <v>Achtelfinale</v>
      </c>
      <c r="F257" s="118" t="s">
        <v>542</v>
      </c>
      <c r="G257" s="119" t="s">
        <v>543</v>
      </c>
      <c r="H257" s="117" t="s">
        <v>544</v>
      </c>
      <c r="I257" s="120" t="s">
        <v>1643</v>
      </c>
      <c r="J257" s="117" t="s">
        <v>546</v>
      </c>
      <c r="K257" s="468" t="s">
        <v>786</v>
      </c>
      <c r="L257" s="101"/>
    </row>
    <row r="258" spans="5:12" x14ac:dyDescent="0.25">
      <c r="E258" s="188" t="str">
        <f t="shared" si="7"/>
        <v>Viertelfinale</v>
      </c>
      <c r="F258" s="162" t="s">
        <v>547</v>
      </c>
      <c r="G258" s="119" t="s">
        <v>548</v>
      </c>
      <c r="H258" s="117" t="s">
        <v>549</v>
      </c>
      <c r="I258" s="120" t="s">
        <v>550</v>
      </c>
      <c r="J258" s="117" t="s">
        <v>551</v>
      </c>
      <c r="K258" s="468" t="s">
        <v>787</v>
      </c>
      <c r="L258" s="101"/>
    </row>
    <row r="259" spans="5:12" x14ac:dyDescent="0.25">
      <c r="E259" s="188" t="str">
        <f t="shared" si="7"/>
        <v>Halbfinale</v>
      </c>
      <c r="F259" s="118" t="s">
        <v>552</v>
      </c>
      <c r="G259" s="119" t="s">
        <v>553</v>
      </c>
      <c r="H259" s="117" t="s">
        <v>554</v>
      </c>
      <c r="I259" s="120" t="s">
        <v>555</v>
      </c>
      <c r="J259" s="117" t="s">
        <v>556</v>
      </c>
      <c r="K259" s="468" t="s">
        <v>788</v>
      </c>
      <c r="L259" s="101"/>
    </row>
    <row r="260" spans="5:12" x14ac:dyDescent="0.25">
      <c r="E260" s="188" t="str">
        <f t="shared" si="7"/>
        <v>Datum</v>
      </c>
      <c r="F260" s="118" t="s">
        <v>1644</v>
      </c>
      <c r="G260" s="119" t="s">
        <v>1645</v>
      </c>
      <c r="H260" s="117" t="s">
        <v>1646</v>
      </c>
      <c r="I260" s="120" t="s">
        <v>1644</v>
      </c>
      <c r="J260" s="117" t="s">
        <v>1647</v>
      </c>
      <c r="K260" s="474" t="s">
        <v>1647</v>
      </c>
      <c r="L260" s="101"/>
    </row>
    <row r="261" spans="5:12" x14ac:dyDescent="0.25">
      <c r="E261" s="188" t="str">
        <f t="shared" si="7"/>
        <v>Favoriten einfärben</v>
      </c>
      <c r="F261" s="118" t="s">
        <v>1648</v>
      </c>
      <c r="G261" s="119" t="s">
        <v>1649</v>
      </c>
      <c r="H261" s="117" t="s">
        <v>1650</v>
      </c>
      <c r="I261" s="120" t="s">
        <v>1651</v>
      </c>
      <c r="J261" s="117" t="s">
        <v>1652</v>
      </c>
      <c r="K261" s="474" t="s">
        <v>1653</v>
      </c>
      <c r="L261" s="101"/>
    </row>
    <row r="262" spans="5:12" ht="30" x14ac:dyDescent="0.25">
      <c r="E262" s="188" t="str">
        <f>IF($C$3,F262,IF($C$4,G262,IF($C$5,H262,IF($C$6,I262,IF($C$7,J262,IF($C$8,K262,IF(L262&lt;&gt;"",L262,F262)))))))</f>
        <v>Hier den Gruppencode eingeben</v>
      </c>
      <c r="F262" s="423" t="s">
        <v>1654</v>
      </c>
      <c r="G262" s="424" t="s">
        <v>1655</v>
      </c>
      <c r="H262" s="425" t="s">
        <v>1656</v>
      </c>
      <c r="I262" s="426" t="s">
        <v>1657</v>
      </c>
      <c r="J262" s="425" t="s">
        <v>1658</v>
      </c>
      <c r="K262" s="474" t="s">
        <v>1659</v>
      </c>
      <c r="L262" s="101"/>
    </row>
    <row r="263" spans="5:12" ht="15.75" thickBot="1" x14ac:dyDescent="0.3">
      <c r="E263" s="188">
        <f>IF($C$3,F263,IF($C$4,G263,IF($C$5,H263,IF($C$6,I263,IF($C$7,J263,IF($C$8,K263,IF(L263&lt;&gt;"",L263,F263)))))))</f>
        <v>0</v>
      </c>
      <c r="F263" s="121"/>
      <c r="G263" s="122"/>
      <c r="H263" s="123"/>
      <c r="I263" s="124"/>
      <c r="J263" s="123"/>
      <c r="K263" s="477"/>
      <c r="L263" s="109"/>
    </row>
    <row r="264" spans="5:12" ht="15.75" thickTop="1" x14ac:dyDescent="0.25"/>
  </sheetData>
  <sheetProtection sheet="1" objects="1" scenarios="1" selectLockedCells="1"/>
  <sortState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Q41"/>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hidden="1" customWidth="1"/>
    <col min="11" max="11" width="25.85546875" style="4" hidden="1" customWidth="1"/>
    <col min="12" max="12" width="6.140625" style="4" hidden="1" customWidth="1"/>
    <col min="13" max="13" width="22.7109375" style="4" hidden="1" customWidth="1"/>
    <col min="14" max="14" width="16.85546875" style="4" hidden="1" customWidth="1"/>
    <col min="15" max="16384" width="11.42578125" style="4" hidden="1"/>
  </cols>
  <sheetData>
    <row r="1" spans="1:17" ht="36.75" customHeight="1" thickBot="1" x14ac:dyDescent="0.5">
      <c r="A1" s="762" t="str">
        <f>Sprache!$E$124</f>
        <v>Wahl der Zeitzone</v>
      </c>
      <c r="B1" s="762"/>
      <c r="C1" s="762"/>
      <c r="D1" s="762"/>
      <c r="E1" s="762"/>
      <c r="F1" s="762"/>
      <c r="G1" s="255" t="str">
        <f>Sprache!$E$194</f>
        <v>Hier klicken und
Zeitzone wählen:</v>
      </c>
      <c r="H1" s="257" t="s">
        <v>148</v>
      </c>
      <c r="I1" s="256" t="s">
        <v>538</v>
      </c>
      <c r="J1" s="151"/>
    </row>
    <row r="2" spans="1:17" x14ac:dyDescent="0.25"/>
    <row r="3" spans="1:17" ht="15.75" thickBot="1" x14ac:dyDescent="0.3">
      <c r="C3" s="164"/>
      <c r="D3" s="6"/>
    </row>
    <row r="4" spans="1:17" x14ac:dyDescent="0.25">
      <c r="B4" s="152">
        <v>-12</v>
      </c>
      <c r="C4" s="208" t="s">
        <v>136</v>
      </c>
      <c r="D4" s="209" t="s">
        <v>113</v>
      </c>
      <c r="E4" s="153">
        <f>$B4/24</f>
        <v>-0.5</v>
      </c>
      <c r="F4" s="154"/>
      <c r="G4" s="763" t="str">
        <f>Sprache!$E$198</f>
        <v>Bei Sommerzeit muss die Zeitzone entsprechend angepasst werden (z. B. UTC+2 statt UTC+1)</v>
      </c>
      <c r="H4" s="763"/>
      <c r="I4" s="763"/>
      <c r="J4" s="156"/>
      <c r="K4" s="18"/>
      <c r="L4" s="30">
        <v>1</v>
      </c>
      <c r="M4" s="159" t="str">
        <f t="array" ref="M4:M19">IF(Sprache!$E$103:$E$118=0,"",Sprache!$E$103:$E$118)</f>
        <v>Vancouver</v>
      </c>
      <c r="N4" s="428" t="s">
        <v>144</v>
      </c>
      <c r="O4" s="4">
        <f>IFERROR(VLOOKUP($N4,$C$4:$E$39,3,0),0)</f>
        <v>-0.16666666666666666</v>
      </c>
      <c r="Q4" s="4" t="s">
        <v>141</v>
      </c>
    </row>
    <row r="5" spans="1:17" ht="15" customHeight="1" x14ac:dyDescent="0.25">
      <c r="B5" s="152">
        <v>-11</v>
      </c>
      <c r="C5" s="182" t="s">
        <v>137</v>
      </c>
      <c r="D5" s="183"/>
      <c r="E5" s="153">
        <f t="shared" ref="E5:E40" si="0">$B5/24</f>
        <v>-0.45833333333333331</v>
      </c>
      <c r="G5" s="763"/>
      <c r="H5" s="763"/>
      <c r="I5" s="763"/>
      <c r="J5" s="158"/>
      <c r="K5" s="431"/>
      <c r="L5" s="30">
        <v>2</v>
      </c>
      <c r="M5" s="159" t="str">
        <v>Toronto</v>
      </c>
      <c r="N5" s="429" t="s">
        <v>144</v>
      </c>
      <c r="O5" s="4">
        <f t="shared" ref="O5:O19" si="1">IFERROR(VLOOKUP($N5,$C$4:$E$39,3,0),0)</f>
        <v>-0.16666666666666666</v>
      </c>
      <c r="Q5" s="4" t="s">
        <v>144</v>
      </c>
    </row>
    <row r="6" spans="1:17" x14ac:dyDescent="0.25">
      <c r="B6" s="152">
        <v>-10</v>
      </c>
      <c r="C6" s="182" t="s">
        <v>138</v>
      </c>
      <c r="D6" s="183" t="s">
        <v>114</v>
      </c>
      <c r="E6" s="153">
        <f t="shared" si="0"/>
        <v>-0.41666666666666669</v>
      </c>
      <c r="G6" s="763"/>
      <c r="H6" s="763"/>
      <c r="I6" s="763"/>
      <c r="J6" s="158"/>
      <c r="K6" s="431"/>
      <c r="L6" s="30">
        <v>3</v>
      </c>
      <c r="M6" s="159" t="str">
        <v>New York/New Jersey</v>
      </c>
      <c r="N6" s="429" t="s">
        <v>144</v>
      </c>
      <c r="O6" s="4">
        <f t="shared" si="1"/>
        <v>-0.16666666666666666</v>
      </c>
      <c r="Q6" s="4" t="s">
        <v>144</v>
      </c>
    </row>
    <row r="7" spans="1:17" x14ac:dyDescent="0.25">
      <c r="B7" s="152">
        <v>-9</v>
      </c>
      <c r="C7" s="182" t="s">
        <v>139</v>
      </c>
      <c r="D7" s="183" t="s">
        <v>115</v>
      </c>
      <c r="E7" s="153">
        <f t="shared" si="0"/>
        <v>-0.375</v>
      </c>
      <c r="G7" s="163"/>
      <c r="I7" s="157"/>
      <c r="J7" s="158"/>
      <c r="K7" s="158"/>
      <c r="L7" s="30">
        <v>4</v>
      </c>
      <c r="M7" s="159" t="str">
        <v>Kansas City</v>
      </c>
      <c r="N7" s="429" t="s">
        <v>144</v>
      </c>
      <c r="O7" s="4">
        <f t="shared" si="1"/>
        <v>-0.16666666666666666</v>
      </c>
      <c r="Q7" s="4" t="s">
        <v>143</v>
      </c>
    </row>
    <row r="8" spans="1:17" x14ac:dyDescent="0.25">
      <c r="B8" s="152">
        <v>-8</v>
      </c>
      <c r="C8" s="182" t="s">
        <v>140</v>
      </c>
      <c r="D8" s="183" t="s">
        <v>116</v>
      </c>
      <c r="E8" s="153">
        <f t="shared" si="0"/>
        <v>-0.33333333333333331</v>
      </c>
      <c r="I8" s="157"/>
      <c r="J8" s="158"/>
      <c r="K8" s="158"/>
      <c r="L8" s="30">
        <v>5</v>
      </c>
      <c r="M8" s="159" t="str">
        <v>Dallas</v>
      </c>
      <c r="N8" s="429" t="s">
        <v>144</v>
      </c>
      <c r="O8" s="4">
        <f t="shared" si="1"/>
        <v>-0.16666666666666666</v>
      </c>
      <c r="Q8" s="4" t="s">
        <v>143</v>
      </c>
    </row>
    <row r="9" spans="1:17" ht="15" customHeight="1" x14ac:dyDescent="0.25">
      <c r="B9" s="152">
        <v>-7</v>
      </c>
      <c r="C9" s="182" t="s">
        <v>141</v>
      </c>
      <c r="D9" s="183" t="s">
        <v>117</v>
      </c>
      <c r="E9" s="153">
        <f t="shared" si="0"/>
        <v>-0.29166666666666669</v>
      </c>
      <c r="I9" s="157"/>
      <c r="J9" s="501"/>
      <c r="K9" s="158"/>
      <c r="L9" s="30">
        <v>6</v>
      </c>
      <c r="M9" s="159" t="str">
        <v>Houston</v>
      </c>
      <c r="N9" s="429" t="s">
        <v>144</v>
      </c>
      <c r="O9" s="4">
        <f t="shared" si="1"/>
        <v>-0.16666666666666666</v>
      </c>
      <c r="Q9" s="4" t="s">
        <v>143</v>
      </c>
    </row>
    <row r="10" spans="1:17" ht="15" customHeight="1" x14ac:dyDescent="0.25">
      <c r="B10" s="152">
        <v>-6</v>
      </c>
      <c r="C10" s="182" t="s">
        <v>142</v>
      </c>
      <c r="D10" s="183" t="s">
        <v>118</v>
      </c>
      <c r="E10" s="153">
        <f t="shared" si="0"/>
        <v>-0.25</v>
      </c>
      <c r="J10" s="501"/>
      <c r="K10" s="158"/>
      <c r="L10" s="30">
        <v>7</v>
      </c>
      <c r="M10" s="159" t="str">
        <v>Atlanta</v>
      </c>
      <c r="N10" s="429" t="s">
        <v>144</v>
      </c>
      <c r="O10" s="4">
        <f t="shared" si="1"/>
        <v>-0.16666666666666666</v>
      </c>
      <c r="Q10" s="4" t="s">
        <v>144</v>
      </c>
    </row>
    <row r="11" spans="1:17" x14ac:dyDescent="0.25">
      <c r="B11" s="152">
        <v>-5</v>
      </c>
      <c r="C11" s="182" t="s">
        <v>143</v>
      </c>
      <c r="D11" s="183" t="s">
        <v>119</v>
      </c>
      <c r="E11" s="153">
        <f t="shared" si="0"/>
        <v>-0.20833333333333334</v>
      </c>
      <c r="J11" s="157"/>
      <c r="K11" s="158"/>
      <c r="L11" s="30">
        <v>8</v>
      </c>
      <c r="M11" s="159" t="str">
        <v>Los Angeles</v>
      </c>
      <c r="N11" s="429" t="s">
        <v>144</v>
      </c>
      <c r="O11" s="4">
        <f t="shared" si="1"/>
        <v>-0.16666666666666666</v>
      </c>
      <c r="Q11" s="4" t="s">
        <v>141</v>
      </c>
    </row>
    <row r="12" spans="1:17" x14ac:dyDescent="0.25">
      <c r="B12" s="152">
        <v>-4</v>
      </c>
      <c r="C12" s="182" t="s">
        <v>144</v>
      </c>
      <c r="D12" s="183" t="s">
        <v>120</v>
      </c>
      <c r="E12" s="153">
        <f t="shared" si="0"/>
        <v>-0.16666666666666666</v>
      </c>
      <c r="J12" s="158"/>
      <c r="K12" s="158"/>
      <c r="L12" s="30">
        <v>9</v>
      </c>
      <c r="M12" s="159" t="str">
        <v>Philadelphia</v>
      </c>
      <c r="N12" s="429" t="s">
        <v>144</v>
      </c>
      <c r="O12" s="4">
        <f t="shared" si="1"/>
        <v>-0.16666666666666666</v>
      </c>
      <c r="Q12" s="4" t="s">
        <v>144</v>
      </c>
    </row>
    <row r="13" spans="1:17" x14ac:dyDescent="0.25">
      <c r="B13" s="152">
        <v>-3.5</v>
      </c>
      <c r="C13" s="182" t="s">
        <v>135</v>
      </c>
      <c r="D13" s="183" t="s">
        <v>121</v>
      </c>
      <c r="E13" s="153">
        <f t="shared" si="0"/>
        <v>-0.14583333333333334</v>
      </c>
      <c r="I13" s="157"/>
      <c r="J13" s="158"/>
      <c r="K13" s="158"/>
      <c r="L13" s="30">
        <v>10</v>
      </c>
      <c r="M13" s="159" t="str">
        <v>Seattle</v>
      </c>
      <c r="N13" s="429" t="s">
        <v>144</v>
      </c>
      <c r="O13" s="4">
        <f t="shared" si="1"/>
        <v>-0.16666666666666666</v>
      </c>
      <c r="Q13" s="4" t="s">
        <v>141</v>
      </c>
    </row>
    <row r="14" spans="1:17" x14ac:dyDescent="0.25">
      <c r="B14" s="152">
        <v>-3</v>
      </c>
      <c r="C14" s="182" t="s">
        <v>145</v>
      </c>
      <c r="D14" s="183"/>
      <c r="E14" s="153">
        <f t="shared" si="0"/>
        <v>-0.125</v>
      </c>
      <c r="I14" s="157"/>
      <c r="J14" s="158"/>
      <c r="K14" s="158"/>
      <c r="L14" s="30">
        <v>11</v>
      </c>
      <c r="M14" s="159" t="str">
        <v>San Francisco Bay Area</v>
      </c>
      <c r="N14" s="429" t="s">
        <v>144</v>
      </c>
      <c r="O14" s="4">
        <f t="shared" si="1"/>
        <v>-0.16666666666666666</v>
      </c>
      <c r="Q14" s="4" t="s">
        <v>141</v>
      </c>
    </row>
    <row r="15" spans="1:17" x14ac:dyDescent="0.25">
      <c r="B15" s="152">
        <v>-2.5</v>
      </c>
      <c r="C15" s="182" t="s">
        <v>1856</v>
      </c>
      <c r="D15" s="183" t="s">
        <v>1857</v>
      </c>
      <c r="E15" s="153">
        <f t="shared" si="0"/>
        <v>-0.10416666666666667</v>
      </c>
      <c r="I15" s="157"/>
      <c r="J15" s="158"/>
      <c r="K15" s="158"/>
      <c r="L15" s="30">
        <v>12</v>
      </c>
      <c r="M15" s="159" t="str">
        <v>Boston</v>
      </c>
      <c r="N15" s="429" t="s">
        <v>144</v>
      </c>
      <c r="O15" s="4">
        <f t="shared" si="1"/>
        <v>-0.16666666666666666</v>
      </c>
      <c r="Q15" s="4" t="s">
        <v>144</v>
      </c>
    </row>
    <row r="16" spans="1:17" x14ac:dyDescent="0.25">
      <c r="B16" s="152">
        <v>-2</v>
      </c>
      <c r="C16" s="182" t="s">
        <v>146</v>
      </c>
      <c r="D16" s="183"/>
      <c r="E16" s="153">
        <f t="shared" si="0"/>
        <v>-8.3333333333333329E-2</v>
      </c>
      <c r="I16" s="157"/>
      <c r="J16" s="158"/>
      <c r="K16" s="158"/>
      <c r="L16" s="30">
        <v>13</v>
      </c>
      <c r="M16" s="159" t="str">
        <v>Miami</v>
      </c>
      <c r="N16" s="429" t="s">
        <v>144</v>
      </c>
      <c r="O16" s="4">
        <f t="shared" si="1"/>
        <v>-0.16666666666666666</v>
      </c>
      <c r="Q16" s="4" t="s">
        <v>144</v>
      </c>
    </row>
    <row r="17" spans="2:17" x14ac:dyDescent="0.25">
      <c r="B17" s="152">
        <v>-1</v>
      </c>
      <c r="C17" s="182" t="s">
        <v>147</v>
      </c>
      <c r="D17" s="183"/>
      <c r="E17" s="153">
        <f t="shared" si="0"/>
        <v>-4.1666666666666664E-2</v>
      </c>
      <c r="I17" s="157"/>
      <c r="J17" s="158"/>
      <c r="K17" s="158"/>
      <c r="L17" s="30">
        <v>14</v>
      </c>
      <c r="M17" s="159" t="str">
        <v>Mexico City</v>
      </c>
      <c r="N17" s="429" t="s">
        <v>144</v>
      </c>
      <c r="O17" s="4">
        <f t="shared" si="1"/>
        <v>-0.16666666666666666</v>
      </c>
      <c r="Q17" s="4" t="s">
        <v>142</v>
      </c>
    </row>
    <row r="18" spans="2:17" x14ac:dyDescent="0.25">
      <c r="B18" s="152">
        <v>0</v>
      </c>
      <c r="C18" s="182" t="s">
        <v>131</v>
      </c>
      <c r="D18" s="183" t="s">
        <v>122</v>
      </c>
      <c r="E18" s="153">
        <f t="shared" si="0"/>
        <v>0</v>
      </c>
      <c r="I18" s="155"/>
      <c r="J18" s="157"/>
      <c r="K18" s="158"/>
      <c r="L18" s="30">
        <v>15</v>
      </c>
      <c r="M18" s="159" t="str">
        <v>Guadalajara</v>
      </c>
      <c r="N18" s="429" t="s">
        <v>144</v>
      </c>
      <c r="O18" s="4">
        <f t="shared" si="1"/>
        <v>-0.16666666666666666</v>
      </c>
      <c r="Q18" s="4" t="s">
        <v>142</v>
      </c>
    </row>
    <row r="19" spans="2:17" ht="15.75" thickBot="1" x14ac:dyDescent="0.3">
      <c r="B19" s="152">
        <v>1</v>
      </c>
      <c r="C19" s="182" t="s">
        <v>134</v>
      </c>
      <c r="D19" s="183" t="s">
        <v>535</v>
      </c>
      <c r="E19" s="153">
        <f t="shared" si="0"/>
        <v>4.1666666666666664E-2</v>
      </c>
      <c r="I19" s="157"/>
      <c r="J19" s="158"/>
      <c r="K19" s="158"/>
      <c r="L19" s="30">
        <v>16</v>
      </c>
      <c r="M19" s="159" t="str">
        <v>Monterrey</v>
      </c>
      <c r="N19" s="430" t="s">
        <v>144</v>
      </c>
      <c r="O19" s="4">
        <f t="shared" si="1"/>
        <v>-0.16666666666666666</v>
      </c>
      <c r="Q19" s="4" t="s">
        <v>142</v>
      </c>
    </row>
    <row r="20" spans="2:17" x14ac:dyDescent="0.25">
      <c r="B20" s="152">
        <v>2</v>
      </c>
      <c r="C20" s="182" t="s">
        <v>148</v>
      </c>
      <c r="D20" s="183" t="s">
        <v>533</v>
      </c>
      <c r="E20" s="153">
        <f t="shared" si="0"/>
        <v>8.3333333333333329E-2</v>
      </c>
      <c r="I20" s="157"/>
      <c r="J20" s="158"/>
      <c r="K20" s="158"/>
      <c r="L20" s="159"/>
      <c r="M20" s="159"/>
      <c r="N20" s="159"/>
    </row>
    <row r="21" spans="2:17" x14ac:dyDescent="0.25">
      <c r="B21" s="152">
        <v>3</v>
      </c>
      <c r="C21" s="182" t="s">
        <v>149</v>
      </c>
      <c r="D21" s="183" t="s">
        <v>123</v>
      </c>
      <c r="E21" s="153">
        <f t="shared" si="0"/>
        <v>0.125</v>
      </c>
      <c r="I21" s="157"/>
      <c r="J21" s="158"/>
      <c r="K21" s="158"/>
      <c r="L21" s="159"/>
      <c r="M21" s="159"/>
      <c r="N21" s="159"/>
    </row>
    <row r="22" spans="2:17" x14ac:dyDescent="0.25">
      <c r="B22" s="152">
        <v>3.5</v>
      </c>
      <c r="C22" s="258" t="s">
        <v>993</v>
      </c>
      <c r="D22" s="183" t="s">
        <v>130</v>
      </c>
      <c r="E22" s="153">
        <f t="shared" si="0"/>
        <v>0.14583333333333334</v>
      </c>
      <c r="I22" s="157"/>
      <c r="J22" s="158"/>
      <c r="K22" s="158"/>
      <c r="L22" s="159"/>
      <c r="M22" s="159"/>
      <c r="N22" s="159"/>
    </row>
    <row r="23" spans="2:17" x14ac:dyDescent="0.25">
      <c r="B23" s="152">
        <v>4</v>
      </c>
      <c r="C23" s="258" t="s">
        <v>994</v>
      </c>
      <c r="D23" s="183"/>
      <c r="E23" s="153">
        <f t="shared" si="0"/>
        <v>0.16666666666666666</v>
      </c>
      <c r="I23" s="157"/>
      <c r="J23" s="158"/>
      <c r="K23" s="158"/>
      <c r="L23" s="159"/>
      <c r="M23" s="159"/>
      <c r="N23" s="159"/>
    </row>
    <row r="24" spans="2:17" x14ac:dyDescent="0.25">
      <c r="B24" s="152">
        <v>4.5</v>
      </c>
      <c r="C24" s="258" t="s">
        <v>995</v>
      </c>
      <c r="D24" s="183"/>
      <c r="E24" s="153">
        <f t="shared" si="0"/>
        <v>0.1875</v>
      </c>
      <c r="I24" s="157"/>
      <c r="J24" s="158"/>
      <c r="K24" s="158"/>
      <c r="L24" s="159"/>
      <c r="M24" s="159"/>
      <c r="N24" s="159"/>
    </row>
    <row r="25" spans="2:17" x14ac:dyDescent="0.25">
      <c r="B25" s="152">
        <v>5</v>
      </c>
      <c r="C25" s="258" t="s">
        <v>996</v>
      </c>
      <c r="D25" s="183"/>
      <c r="E25" s="153">
        <f t="shared" si="0"/>
        <v>0.20833333333333334</v>
      </c>
      <c r="I25" s="155"/>
      <c r="J25" s="157"/>
      <c r="K25" s="158"/>
      <c r="L25" s="159"/>
      <c r="M25" s="159"/>
      <c r="N25" s="159"/>
    </row>
    <row r="26" spans="2:17" x14ac:dyDescent="0.25">
      <c r="B26" s="152">
        <v>5.5</v>
      </c>
      <c r="C26" s="258" t="s">
        <v>997</v>
      </c>
      <c r="D26" s="183" t="s">
        <v>129</v>
      </c>
      <c r="E26" s="153">
        <f t="shared" si="0"/>
        <v>0.22916666666666666</v>
      </c>
      <c r="I26" s="157"/>
      <c r="J26" s="158"/>
      <c r="K26" s="158"/>
      <c r="L26" s="159"/>
      <c r="M26" s="159"/>
      <c r="N26" s="159"/>
    </row>
    <row r="27" spans="2:17" x14ac:dyDescent="0.25">
      <c r="B27" s="152">
        <v>5.75</v>
      </c>
      <c r="C27" s="258" t="s">
        <v>998</v>
      </c>
      <c r="D27" s="183"/>
      <c r="E27" s="153">
        <f t="shared" si="0"/>
        <v>0.23958333333333334</v>
      </c>
      <c r="I27" s="157"/>
      <c r="J27" s="158"/>
      <c r="K27" s="158"/>
      <c r="L27" s="159"/>
      <c r="M27" s="159"/>
      <c r="N27" s="159"/>
    </row>
    <row r="28" spans="2:17" x14ac:dyDescent="0.25">
      <c r="B28" s="152">
        <v>6</v>
      </c>
      <c r="C28" s="258" t="s">
        <v>999</v>
      </c>
      <c r="D28" s="183"/>
      <c r="E28" s="153">
        <f t="shared" si="0"/>
        <v>0.25</v>
      </c>
      <c r="I28" s="157"/>
      <c r="J28" s="158"/>
      <c r="K28" s="158"/>
      <c r="L28" s="159"/>
      <c r="M28" s="159"/>
      <c r="N28" s="159"/>
    </row>
    <row r="29" spans="2:17" x14ac:dyDescent="0.25">
      <c r="B29" s="152">
        <v>6.5</v>
      </c>
      <c r="C29" s="258" t="s">
        <v>1000</v>
      </c>
      <c r="D29" s="183"/>
      <c r="E29" s="153">
        <f t="shared" si="0"/>
        <v>0.27083333333333331</v>
      </c>
      <c r="I29" s="157"/>
      <c r="J29" s="158"/>
      <c r="K29" s="158"/>
      <c r="L29" s="159"/>
      <c r="M29" s="159"/>
      <c r="N29" s="159"/>
    </row>
    <row r="30" spans="2:17" x14ac:dyDescent="0.25">
      <c r="B30" s="152">
        <v>7</v>
      </c>
      <c r="C30" s="258" t="s">
        <v>1001</v>
      </c>
      <c r="D30" s="183" t="s">
        <v>124</v>
      </c>
      <c r="E30" s="153">
        <f t="shared" si="0"/>
        <v>0.29166666666666669</v>
      </c>
      <c r="I30" s="157"/>
      <c r="J30" s="158"/>
      <c r="K30" s="158"/>
      <c r="L30" s="159"/>
      <c r="M30" s="159"/>
      <c r="N30" s="159"/>
    </row>
    <row r="31" spans="2:17" x14ac:dyDescent="0.25">
      <c r="B31" s="152">
        <v>8</v>
      </c>
      <c r="C31" s="258" t="s">
        <v>1002</v>
      </c>
      <c r="D31" s="183" t="s">
        <v>125</v>
      </c>
      <c r="E31" s="153">
        <f t="shared" si="0"/>
        <v>0.33333333333333331</v>
      </c>
      <c r="I31" s="157"/>
      <c r="J31" s="158"/>
      <c r="K31" s="158"/>
      <c r="L31" s="159"/>
      <c r="M31" s="159"/>
      <c r="N31" s="159"/>
    </row>
    <row r="32" spans="2:17" x14ac:dyDescent="0.25">
      <c r="B32" s="152">
        <v>9</v>
      </c>
      <c r="C32" s="258" t="s">
        <v>1003</v>
      </c>
      <c r="D32" s="183" t="s">
        <v>126</v>
      </c>
      <c r="E32" s="153">
        <f t="shared" si="0"/>
        <v>0.375</v>
      </c>
      <c r="I32" s="155"/>
      <c r="J32" s="157"/>
      <c r="K32" s="158"/>
      <c r="L32" s="159"/>
      <c r="M32" s="159"/>
      <c r="N32" s="159"/>
    </row>
    <row r="33" spans="2:14" x14ac:dyDescent="0.25">
      <c r="B33" s="152">
        <v>9.5</v>
      </c>
      <c r="C33" s="258" t="s">
        <v>1004</v>
      </c>
      <c r="D33" s="183" t="s">
        <v>128</v>
      </c>
      <c r="E33" s="153">
        <f t="shared" si="0"/>
        <v>0.39583333333333331</v>
      </c>
      <c r="I33" s="157"/>
      <c r="J33" s="158"/>
      <c r="K33" s="158"/>
      <c r="L33" s="159"/>
      <c r="M33" s="159"/>
      <c r="N33" s="159"/>
    </row>
    <row r="34" spans="2:14" x14ac:dyDescent="0.25">
      <c r="B34" s="152">
        <v>10</v>
      </c>
      <c r="C34" s="258" t="s">
        <v>1005</v>
      </c>
      <c r="D34" s="183"/>
      <c r="E34" s="153">
        <f t="shared" si="0"/>
        <v>0.41666666666666669</v>
      </c>
      <c r="I34" s="157"/>
      <c r="J34" s="158"/>
      <c r="K34" s="158"/>
      <c r="L34" s="159"/>
      <c r="M34" s="159"/>
      <c r="N34" s="159"/>
    </row>
    <row r="35" spans="2:14" x14ac:dyDescent="0.25">
      <c r="B35" s="152">
        <v>10.5</v>
      </c>
      <c r="C35" s="258" t="s">
        <v>1006</v>
      </c>
      <c r="D35" s="183"/>
      <c r="E35" s="153">
        <f t="shared" si="0"/>
        <v>0.4375</v>
      </c>
      <c r="I35" s="157"/>
      <c r="J35" s="158"/>
      <c r="K35" s="158"/>
      <c r="L35" s="159"/>
      <c r="M35" s="159"/>
      <c r="N35" s="159"/>
    </row>
    <row r="36" spans="2:14" x14ac:dyDescent="0.25">
      <c r="B36" s="152">
        <v>11</v>
      </c>
      <c r="C36" s="258" t="s">
        <v>1007</v>
      </c>
      <c r="D36" s="183"/>
      <c r="E36" s="153">
        <f t="shared" si="0"/>
        <v>0.45833333333333331</v>
      </c>
      <c r="I36" s="157"/>
      <c r="J36" s="158"/>
      <c r="K36" s="158"/>
      <c r="L36" s="159"/>
      <c r="M36" s="159"/>
      <c r="N36" s="159"/>
    </row>
    <row r="37" spans="2:14" x14ac:dyDescent="0.25">
      <c r="B37" s="152">
        <v>12</v>
      </c>
      <c r="C37" s="258" t="s">
        <v>1008</v>
      </c>
      <c r="D37" s="183" t="s">
        <v>127</v>
      </c>
      <c r="E37" s="153">
        <f t="shared" si="0"/>
        <v>0.5</v>
      </c>
      <c r="I37" s="157"/>
      <c r="J37" s="158"/>
      <c r="K37" s="158"/>
      <c r="L37" s="159"/>
      <c r="M37" s="159"/>
      <c r="N37" s="159"/>
    </row>
    <row r="38" spans="2:14" x14ac:dyDescent="0.25">
      <c r="B38" s="152">
        <v>12.75</v>
      </c>
      <c r="C38" s="258" t="s">
        <v>1009</v>
      </c>
      <c r="D38" s="183"/>
      <c r="E38" s="153">
        <f t="shared" si="0"/>
        <v>0.53125</v>
      </c>
      <c r="I38" s="157"/>
      <c r="J38" s="158"/>
      <c r="K38" s="158"/>
      <c r="L38" s="159"/>
      <c r="M38" s="159"/>
      <c r="N38" s="159"/>
    </row>
    <row r="39" spans="2:14" x14ac:dyDescent="0.25">
      <c r="B39" s="152">
        <v>13</v>
      </c>
      <c r="C39" s="258" t="s">
        <v>1010</v>
      </c>
      <c r="D39" s="183"/>
      <c r="E39" s="153">
        <f t="shared" si="0"/>
        <v>0.54166666666666663</v>
      </c>
      <c r="I39" s="155"/>
      <c r="J39" s="158"/>
      <c r="K39" s="158"/>
      <c r="L39" s="159"/>
      <c r="M39" s="159"/>
      <c r="N39" s="159"/>
    </row>
    <row r="40" spans="2:14" x14ac:dyDescent="0.25">
      <c r="B40" s="152">
        <v>14</v>
      </c>
      <c r="C40" s="260" t="s">
        <v>1011</v>
      </c>
      <c r="D40" s="210"/>
      <c r="E40" s="153">
        <f t="shared" si="0"/>
        <v>0.58333333333333337</v>
      </c>
      <c r="I40" s="157"/>
      <c r="J40" s="158"/>
      <c r="K40" s="158"/>
      <c r="L40" s="159"/>
      <c r="M40" s="159"/>
      <c r="N40" s="159"/>
    </row>
    <row r="41" spans="2:14" x14ac:dyDescent="0.25"/>
  </sheetData>
  <sheetProtection sheet="1" selectLockedCells="1"/>
  <mergeCells count="2">
    <mergeCell ref="A1:F1"/>
    <mergeCell ref="G4:I6"/>
  </mergeCells>
  <conditionalFormatting sqref="C4:D40">
    <cfRule type="expression" dxfId="4" priority="1">
      <formula>$H$1=$C4</formula>
    </cfRule>
  </conditionalFormatting>
  <dataValidations count="2">
    <dataValidation type="list" allowBlank="1" showErrorMessage="1" sqref="H1" xr:uid="{52B6EB8C-8467-41D2-82DD-6B530D38FCA1}">
      <formula1>$C$4:$C$40</formula1>
    </dataValidation>
    <dataValidation type="list" allowBlank="1" showInputMessage="1" showErrorMessage="1" sqref="N4:N19" xr:uid="{F9B5CCDB-151C-4B98-BE33-DFC7FE8D7061}">
      <formula1>$C$4:$C$39</formula1>
    </dataValidation>
  </dataValidations>
  <pageMargins left="0.7" right="0.7" top="0.78740157499999996" bottom="0.78740157499999996"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A1:F68"/>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9.28515625" customWidth="1"/>
    <col min="6" max="6" width="11.42578125" customWidth="1"/>
    <col min="7" max="16384" width="11.42578125" hidden="1"/>
  </cols>
  <sheetData>
    <row r="1" spans="2:5" x14ac:dyDescent="0.25"/>
    <row r="2" spans="2:5" ht="28.5" x14ac:dyDescent="0.45">
      <c r="B2" s="748" t="s">
        <v>444</v>
      </c>
      <c r="C2" s="748"/>
      <c r="D2" s="748"/>
    </row>
    <row r="3" spans="2:5" ht="15.75" thickBot="1" x14ac:dyDescent="0.3"/>
    <row r="4" spans="2:5" ht="15.75" thickTop="1" x14ac:dyDescent="0.25">
      <c r="B4" s="752" t="s">
        <v>391</v>
      </c>
      <c r="C4" s="765" t="s">
        <v>390</v>
      </c>
      <c r="D4" s="767" t="s">
        <v>389</v>
      </c>
      <c r="E4" s="433"/>
    </row>
    <row r="5" spans="2:5" x14ac:dyDescent="0.25">
      <c r="B5" s="764"/>
      <c r="C5" s="766"/>
      <c r="D5" s="768"/>
      <c r="E5" s="434" t="s">
        <v>1683</v>
      </c>
    </row>
    <row r="6" spans="2:5" ht="15.75" x14ac:dyDescent="0.25">
      <c r="B6" s="112"/>
      <c r="C6" s="196"/>
      <c r="D6" s="197" t="s">
        <v>24</v>
      </c>
      <c r="E6" s="435"/>
    </row>
    <row r="7" spans="2:5" x14ac:dyDescent="0.25">
      <c r="B7" s="113" t="s">
        <v>170</v>
      </c>
      <c r="C7" s="116">
        <v>15</v>
      </c>
      <c r="D7" s="187" t="str">
        <f>VLOOKUP($C7,Sprache!$D$5:$E$100,2,0)</f>
        <v>Mexiko</v>
      </c>
      <c r="E7" s="435" t="b">
        <f>OR(CalcA!$K$5&gt;0,CalcA!$I$5&gt;0)</f>
        <v>0</v>
      </c>
    </row>
    <row r="8" spans="2:5" x14ac:dyDescent="0.25">
      <c r="B8" s="113" t="s">
        <v>171</v>
      </c>
      <c r="C8" s="119">
        <v>60</v>
      </c>
      <c r="D8" s="187" t="str">
        <f>VLOOKUP($C8,Sprache!$D$5:$E$100,2,0)</f>
        <v>Südafrika</v>
      </c>
      <c r="E8" s="435" t="b">
        <f>OR(CalcA!$K$6&gt;0,CalcA!$I$6&gt;0)</f>
        <v>0</v>
      </c>
    </row>
    <row r="9" spans="2:5" x14ac:dyDescent="0.25">
      <c r="B9" s="113" t="s">
        <v>172</v>
      </c>
      <c r="C9" s="119">
        <v>25</v>
      </c>
      <c r="D9" s="187" t="str">
        <f>VLOOKUP($C9,Sprache!$D$5:$E$100,2,0)</f>
        <v>Südkorea</v>
      </c>
      <c r="E9" s="435" t="b">
        <f>OR(CalcA!$K$7&gt;0,CalcA!$I$7&gt;0)</f>
        <v>0</v>
      </c>
    </row>
    <row r="10" spans="2:5" x14ac:dyDescent="0.25">
      <c r="B10" s="113" t="s">
        <v>1018</v>
      </c>
      <c r="C10" s="261">
        <v>41</v>
      </c>
      <c r="D10" s="187" t="str">
        <f>VLOOKUP($C10,Sprache!$D$5:$E$100,2,0)</f>
        <v>Tschechien</v>
      </c>
      <c r="E10" s="435" t="b">
        <f>OR(CalcA!$K$8&gt;0,CalcA!$I$8&gt;0)</f>
        <v>0</v>
      </c>
    </row>
    <row r="11" spans="2:5" ht="15.75" x14ac:dyDescent="0.25">
      <c r="B11" s="114"/>
      <c r="C11" s="196"/>
      <c r="D11" s="197" t="s">
        <v>20</v>
      </c>
      <c r="E11" s="435"/>
    </row>
    <row r="12" spans="2:5" x14ac:dyDescent="0.25">
      <c r="B12" s="113" t="s">
        <v>173</v>
      </c>
      <c r="C12" s="119">
        <v>30</v>
      </c>
      <c r="D12" s="187" t="str">
        <f>VLOOKUP($C12,Sprache!$D$5:$E$100,2,0)</f>
        <v>Kanada</v>
      </c>
      <c r="E12" s="435" t="b">
        <f>OR(CalcB!$K$5&gt;0,CalcB!$I$5&gt;0)</f>
        <v>0</v>
      </c>
    </row>
    <row r="13" spans="2:5" x14ac:dyDescent="0.25">
      <c r="B13" s="113" t="s">
        <v>174</v>
      </c>
      <c r="C13" s="116">
        <v>65</v>
      </c>
      <c r="D13" s="187" t="str">
        <f>VLOOKUP($C13,Sprache!$D$5:$E$100,2,0)</f>
        <v>Bosnien/Herzeg.</v>
      </c>
      <c r="E13" s="435" t="b">
        <f>OR(CalcB!$K$6&gt;0,CalcB!$I$6&gt;0)</f>
        <v>0</v>
      </c>
    </row>
    <row r="14" spans="2:5" x14ac:dyDescent="0.25">
      <c r="B14" s="113" t="s">
        <v>175</v>
      </c>
      <c r="C14" s="119">
        <v>55</v>
      </c>
      <c r="D14" s="187" t="str">
        <f>VLOOKUP($C14,Sprache!$D$5:$E$100,2,0)</f>
        <v>Katar</v>
      </c>
      <c r="E14" s="435" t="b">
        <f>OR(CalcB!$K$7&gt;0,CalcB!$I$7&gt;0)</f>
        <v>0</v>
      </c>
    </row>
    <row r="15" spans="2:5" x14ac:dyDescent="0.25">
      <c r="B15" s="113" t="s">
        <v>1019</v>
      </c>
      <c r="C15" s="261">
        <v>19</v>
      </c>
      <c r="D15" s="187" t="str">
        <f>VLOOKUP($C15,Sprache!$D$5:$E$100,2,0)</f>
        <v>Schweiz</v>
      </c>
      <c r="E15" s="435" t="b">
        <f>OR(CalcB!$K$8&gt;0,CalcB!$I$8&gt;0)</f>
        <v>0</v>
      </c>
    </row>
    <row r="16" spans="2:5" ht="15.75" x14ac:dyDescent="0.25">
      <c r="B16" s="114"/>
      <c r="C16" s="196"/>
      <c r="D16" s="197" t="s">
        <v>21</v>
      </c>
      <c r="E16" s="435"/>
    </row>
    <row r="17" spans="2:5" x14ac:dyDescent="0.25">
      <c r="B17" s="113" t="s">
        <v>176</v>
      </c>
      <c r="C17" s="119">
        <v>6</v>
      </c>
      <c r="D17" s="187" t="str">
        <f>VLOOKUP($C17,Sprache!$D$5:$E$100,2,0)</f>
        <v>Brasilien</v>
      </c>
      <c r="E17" s="435" t="b">
        <f>OR(CalcC!$K$5&gt;0,CalcC!$I$5&gt;0)</f>
        <v>0</v>
      </c>
    </row>
    <row r="18" spans="2:5" x14ac:dyDescent="0.25">
      <c r="B18" s="113" t="s">
        <v>177</v>
      </c>
      <c r="C18" s="119">
        <v>8</v>
      </c>
      <c r="D18" s="187" t="str">
        <f>VLOOKUP($C18,Sprache!$D$5:$E$100,2,0)</f>
        <v>Marokko</v>
      </c>
      <c r="E18" s="435" t="b">
        <f>OR(CalcC!$K$6&gt;0,CalcC!$I$6&gt;0)</f>
        <v>0</v>
      </c>
    </row>
    <row r="19" spans="2:5" x14ac:dyDescent="0.25">
      <c r="B19" s="113" t="s">
        <v>178</v>
      </c>
      <c r="C19" s="119">
        <v>83</v>
      </c>
      <c r="D19" s="187" t="str">
        <f>VLOOKUP($C19,Sprache!$D$5:$E$100,2,0)</f>
        <v>Haiti</v>
      </c>
      <c r="E19" s="435" t="b">
        <f>OR(CalcC!$K$7&gt;0,CalcC!$I$7&gt;0)</f>
        <v>0</v>
      </c>
    </row>
    <row r="20" spans="2:5" x14ac:dyDescent="0.25">
      <c r="B20" s="113" t="s">
        <v>1020</v>
      </c>
      <c r="C20" s="261">
        <v>43</v>
      </c>
      <c r="D20" s="187" t="str">
        <f>VLOOKUP($C20,Sprache!$D$5:$E$100,2,0)</f>
        <v>Schottland</v>
      </c>
      <c r="E20" s="435" t="b">
        <f>OR(CalcC!$K$8&gt;0,CalcC!$I$8&gt;0)</f>
        <v>0</v>
      </c>
    </row>
    <row r="21" spans="2:5" ht="15.75" x14ac:dyDescent="0.25">
      <c r="B21" s="114"/>
      <c r="C21" s="196"/>
      <c r="D21" s="197" t="s">
        <v>25</v>
      </c>
      <c r="E21" s="435"/>
    </row>
    <row r="22" spans="2:5" x14ac:dyDescent="0.25">
      <c r="B22" s="113" t="s">
        <v>179</v>
      </c>
      <c r="C22" s="119">
        <v>16</v>
      </c>
      <c r="D22" s="187" t="str">
        <f>VLOOKUP($C22,Sprache!$D$5:$E$100,2,0)</f>
        <v>USA</v>
      </c>
      <c r="E22" s="435" t="b">
        <f>OR(CalcD!$K$5&gt;0,CalcD!$I$5&gt;0)</f>
        <v>0</v>
      </c>
    </row>
    <row r="23" spans="2:5" x14ac:dyDescent="0.25">
      <c r="B23" s="113" t="s">
        <v>180</v>
      </c>
      <c r="C23" s="119">
        <v>40</v>
      </c>
      <c r="D23" s="187" t="str">
        <f>VLOOKUP($C23,Sprache!$D$5:$E$100,2,0)</f>
        <v>Paraguay</v>
      </c>
      <c r="E23" s="435" t="b">
        <f>OR(CalcD!$K$6&gt;0,CalcD!$I$6&gt;0)</f>
        <v>0</v>
      </c>
    </row>
    <row r="24" spans="2:5" x14ac:dyDescent="0.25">
      <c r="B24" s="113" t="s">
        <v>181</v>
      </c>
      <c r="C24" s="119">
        <v>27</v>
      </c>
      <c r="D24" s="187" t="str">
        <f>VLOOKUP($C24,Sprache!$D$5:$E$100,2,0)</f>
        <v>Australien</v>
      </c>
      <c r="E24" s="435" t="b">
        <f>OR(CalcD!$K$7&gt;0,CalcD!$I$7&gt;0)</f>
        <v>0</v>
      </c>
    </row>
    <row r="25" spans="2:5" x14ac:dyDescent="0.25">
      <c r="B25" s="113" t="s">
        <v>1021</v>
      </c>
      <c r="C25" s="261">
        <v>22</v>
      </c>
      <c r="D25" s="187" t="str">
        <f>VLOOKUP($C25,Sprache!$D$5:$E$100,2,0)</f>
        <v>Türkei</v>
      </c>
      <c r="E25" s="435" t="b">
        <f>OR(CalcD!$K$8&gt;0,CalcD!$I$8&gt;0)</f>
        <v>0</v>
      </c>
    </row>
    <row r="26" spans="2:5" ht="15.75" x14ac:dyDescent="0.25">
      <c r="B26" s="114"/>
      <c r="C26" s="196"/>
      <c r="D26" s="197" t="s">
        <v>22</v>
      </c>
      <c r="E26" s="435"/>
    </row>
    <row r="27" spans="2:5" x14ac:dyDescent="0.25">
      <c r="B27" s="113" t="s">
        <v>182</v>
      </c>
      <c r="C27" s="119">
        <v>10</v>
      </c>
      <c r="D27" s="187" t="str">
        <f>VLOOKUP($C27,Sprache!$D$5:$E$100,2,0)</f>
        <v>Deutschland</v>
      </c>
      <c r="E27" s="435" t="b">
        <f>OR(CalcE!$K$5&gt;0,CalcE!$I$5&gt;0)</f>
        <v>0</v>
      </c>
    </row>
    <row r="28" spans="2:5" x14ac:dyDescent="0.25">
      <c r="B28" s="113" t="s">
        <v>183</v>
      </c>
      <c r="C28" s="116">
        <v>82</v>
      </c>
      <c r="D28" s="187" t="str">
        <f>VLOOKUP($C28,Sprache!$D$5:$E$100,2,0)</f>
        <v>Curaçao</v>
      </c>
      <c r="E28" s="435" t="b">
        <f>OR(CalcE!$K$6&gt;0,CalcE!$I$6&gt;0)</f>
        <v>0</v>
      </c>
    </row>
    <row r="29" spans="2:5" x14ac:dyDescent="0.25">
      <c r="B29" s="113" t="s">
        <v>184</v>
      </c>
      <c r="C29" s="119">
        <v>34</v>
      </c>
      <c r="D29" s="187" t="str">
        <f>VLOOKUP($C29,Sprache!$D$5:$E$100,2,0)</f>
        <v>Elfenbeinküste</v>
      </c>
      <c r="E29" s="435" t="b">
        <f>OR(CalcE!$K$7&gt;0,CalcE!$I$7&gt;0)</f>
        <v>0</v>
      </c>
    </row>
    <row r="30" spans="2:5" x14ac:dyDescent="0.25">
      <c r="B30" s="113" t="s">
        <v>1022</v>
      </c>
      <c r="C30" s="261">
        <v>23</v>
      </c>
      <c r="D30" s="187" t="str">
        <f>VLOOKUP($C30,Sprache!$D$5:$E$100,2,0)</f>
        <v>Ecuador</v>
      </c>
      <c r="E30" s="435" t="b">
        <f>OR(CalcE!$K$8&gt;0,CalcE!$I$8&gt;0)</f>
        <v>0</v>
      </c>
    </row>
    <row r="31" spans="2:5" ht="15.75" x14ac:dyDescent="0.25">
      <c r="B31" s="114"/>
      <c r="C31" s="196"/>
      <c r="D31" s="197" t="s">
        <v>23</v>
      </c>
      <c r="E31" s="435"/>
    </row>
    <row r="32" spans="2:5" x14ac:dyDescent="0.25">
      <c r="B32" s="113" t="s">
        <v>264</v>
      </c>
      <c r="C32" s="116">
        <v>7</v>
      </c>
      <c r="D32" s="187" t="str">
        <f>VLOOKUP($C32,Sprache!$D$5:$E$100,2,0)</f>
        <v>Niederlande</v>
      </c>
      <c r="E32" s="435" t="b">
        <f>OR(CalcF!$K$5&gt;0,CalcF!$I$5&gt;0)</f>
        <v>0</v>
      </c>
    </row>
    <row r="33" spans="2:5" x14ac:dyDescent="0.25">
      <c r="B33" s="113" t="s">
        <v>265</v>
      </c>
      <c r="C33" s="119">
        <v>18</v>
      </c>
      <c r="D33" s="187" t="str">
        <f>VLOOKUP($C33,Sprache!$D$5:$E$100,2,0)</f>
        <v>Japan</v>
      </c>
      <c r="E33" s="435" t="b">
        <f>OR(CalcF!$K$6&gt;0,CalcF!$I$6&gt;0)</f>
        <v>0</v>
      </c>
    </row>
    <row r="34" spans="2:5" x14ac:dyDescent="0.25">
      <c r="B34" s="113" t="s">
        <v>266</v>
      </c>
      <c r="C34" s="116">
        <v>38</v>
      </c>
      <c r="D34" s="187" t="str">
        <f>VLOOKUP($C34,Sprache!$D$5:$E$100,2,0)</f>
        <v>Schweden</v>
      </c>
      <c r="E34" s="435" t="b">
        <f>OR(CalcF!$K$7&gt;0,CalcF!$I$7&gt;0)</f>
        <v>0</v>
      </c>
    </row>
    <row r="35" spans="2:5" x14ac:dyDescent="0.25">
      <c r="B35" s="113" t="s">
        <v>1023</v>
      </c>
      <c r="C35" s="262">
        <v>44</v>
      </c>
      <c r="D35" s="187" t="str">
        <f>VLOOKUP($C35,Sprache!$D$5:$E$100,2,0)</f>
        <v>Tunesien</v>
      </c>
      <c r="E35" s="435" t="b">
        <f>OR(CalcF!$K$8&gt;0,CalcF!$I$8&gt;0)</f>
        <v>0</v>
      </c>
    </row>
    <row r="36" spans="2:5" ht="15.75" x14ac:dyDescent="0.25">
      <c r="B36" s="114"/>
      <c r="C36" s="196"/>
      <c r="D36" s="197" t="s">
        <v>270</v>
      </c>
      <c r="E36" s="435"/>
    </row>
    <row r="37" spans="2:5" x14ac:dyDescent="0.25">
      <c r="B37" s="113" t="s">
        <v>185</v>
      </c>
      <c r="C37" s="119">
        <v>9</v>
      </c>
      <c r="D37" s="187" t="str">
        <f>VLOOKUP($C37,Sprache!$D$5:$E$100,2,0)</f>
        <v>Belgien</v>
      </c>
      <c r="E37" s="435" t="b">
        <f>OR(CalcG!$K$5&gt;0,CalcG!$I$5&gt;0)</f>
        <v>0</v>
      </c>
    </row>
    <row r="38" spans="2:5" x14ac:dyDescent="0.25">
      <c r="B38" s="113" t="s">
        <v>186</v>
      </c>
      <c r="C38" s="119">
        <v>29</v>
      </c>
      <c r="D38" s="187" t="str">
        <f>VLOOKUP($C38,Sprache!$D$5:$E$100,2,0)</f>
        <v>Ägypten</v>
      </c>
      <c r="E38" s="435" t="b">
        <f>OR(CalcG!$K$6&gt;0,CalcG!$I$6&gt;0)</f>
        <v>0</v>
      </c>
    </row>
    <row r="39" spans="2:5" x14ac:dyDescent="0.25">
      <c r="B39" s="113" t="s">
        <v>187</v>
      </c>
      <c r="C39" s="119">
        <v>21</v>
      </c>
      <c r="D39" s="187" t="str">
        <f>VLOOKUP($C39,Sprache!$D$5:$E$100,2,0)</f>
        <v>IR Iran</v>
      </c>
      <c r="E39" s="435" t="b">
        <f>OR(CalcG!$K$7&gt;0,CalcG!$I$7&gt;0)</f>
        <v>0</v>
      </c>
    </row>
    <row r="40" spans="2:5" x14ac:dyDescent="0.25">
      <c r="B40" s="113" t="s">
        <v>1024</v>
      </c>
      <c r="C40" s="261">
        <v>85</v>
      </c>
      <c r="D40" s="187" t="str">
        <f>VLOOKUP($C40,Sprache!$D$5:$E$100,2,0)</f>
        <v>Neuseeland</v>
      </c>
      <c r="E40" s="435" t="b">
        <f>OR(CalcG!$K$8&gt;0,CalcG!$I$8&gt;0)</f>
        <v>0</v>
      </c>
    </row>
    <row r="41" spans="2:5" ht="15.75" x14ac:dyDescent="0.25">
      <c r="B41" s="114"/>
      <c r="C41" s="196"/>
      <c r="D41" s="197" t="s">
        <v>31</v>
      </c>
      <c r="E41" s="435"/>
    </row>
    <row r="42" spans="2:5" x14ac:dyDescent="0.25">
      <c r="B42" s="113" t="s">
        <v>267</v>
      </c>
      <c r="C42" s="119">
        <v>2</v>
      </c>
      <c r="D42" s="190" t="str">
        <f>VLOOKUP($C42,Sprache!$D$5:$E$100,2,0)</f>
        <v>Spanien</v>
      </c>
      <c r="E42" s="435" t="b">
        <f>OR(CalcH!$K$5&gt;0,CalcH!$I$5&gt;0)</f>
        <v>0</v>
      </c>
    </row>
    <row r="43" spans="2:5" x14ac:dyDescent="0.25">
      <c r="B43" s="113" t="s">
        <v>268</v>
      </c>
      <c r="C43" s="119">
        <v>69</v>
      </c>
      <c r="D43" s="190" t="str">
        <f>VLOOKUP($C43,Sprache!$D$5:$E$100,2,0)</f>
        <v>Kap Verde</v>
      </c>
      <c r="E43" s="435" t="b">
        <f>OR(CalcH!$K$6&gt;0,CalcH!$I$6&gt;0)</f>
        <v>0</v>
      </c>
    </row>
    <row r="44" spans="2:5" x14ac:dyDescent="0.25">
      <c r="B44" s="113" t="s">
        <v>269</v>
      </c>
      <c r="C44" s="119">
        <v>61</v>
      </c>
      <c r="D44" s="190" t="str">
        <f>VLOOKUP($C44,Sprache!$D$5:$E$100,2,0)</f>
        <v>Saudiarabien</v>
      </c>
      <c r="E44" s="435" t="b">
        <f>OR(CalcH!$K$7&gt;0,CalcH!$I$7&gt;0)</f>
        <v>0</v>
      </c>
    </row>
    <row r="45" spans="2:5" x14ac:dyDescent="0.25">
      <c r="B45" s="167" t="s">
        <v>1025</v>
      </c>
      <c r="C45" s="261">
        <v>17</v>
      </c>
      <c r="D45" s="190" t="str">
        <f>VLOOKUP($C45,Sprache!$D$5:$E$100,2,0)</f>
        <v>Uruguay</v>
      </c>
      <c r="E45" s="435" t="b">
        <f>OR(CalcH!$K$8&gt;0,CalcH!$I$8&gt;0)</f>
        <v>0</v>
      </c>
    </row>
    <row r="46" spans="2:5" ht="15.75" x14ac:dyDescent="0.25">
      <c r="B46" s="112"/>
      <c r="C46" s="196"/>
      <c r="D46" s="197" t="s">
        <v>32</v>
      </c>
      <c r="E46" s="435"/>
    </row>
    <row r="47" spans="2:5" x14ac:dyDescent="0.25">
      <c r="B47" s="113" t="s">
        <v>815</v>
      </c>
      <c r="C47" s="116">
        <v>1</v>
      </c>
      <c r="D47" s="187" t="str">
        <f>VLOOKUP($C47,Sprache!$D$5:$E$100,2,0)</f>
        <v>Frankreich</v>
      </c>
      <c r="E47" s="435" t="b">
        <f>OR(CalcI!$K$5&gt;0,CalcI!$I$5&gt;0)</f>
        <v>0</v>
      </c>
    </row>
    <row r="48" spans="2:5" x14ac:dyDescent="0.25">
      <c r="B48" s="113" t="s">
        <v>816</v>
      </c>
      <c r="C48" s="119">
        <v>14</v>
      </c>
      <c r="D48" s="187" t="str">
        <f>VLOOKUP($C48,Sprache!$D$5:$E$100,2,0)</f>
        <v>Senegal</v>
      </c>
      <c r="E48" s="435" t="b">
        <f>OR(CalcI!$K$6&gt;0,CalcI!$I$6&gt;0)</f>
        <v>0</v>
      </c>
    </row>
    <row r="49" spans="2:5" x14ac:dyDescent="0.25">
      <c r="B49" s="113" t="s">
        <v>817</v>
      </c>
      <c r="C49" s="119">
        <v>57</v>
      </c>
      <c r="D49" s="187" t="str">
        <f>VLOOKUP($C49,Sprache!$D$5:$E$100,2,0)</f>
        <v>Irak</v>
      </c>
      <c r="E49" s="435" t="b">
        <f>OR(CalcI!$K$7&gt;0,CalcI!$I$7&gt;0)</f>
        <v>0</v>
      </c>
    </row>
    <row r="50" spans="2:5" x14ac:dyDescent="0.25">
      <c r="B50" s="113" t="s">
        <v>1026</v>
      </c>
      <c r="C50" s="261">
        <v>31</v>
      </c>
      <c r="D50" s="187" t="str">
        <f>VLOOKUP($C50,Sprache!$D$5:$E$100,2,0)</f>
        <v>Norwegen</v>
      </c>
      <c r="E50" s="435" t="b">
        <f>OR(CalcI!$K$8&gt;0,CalcI!$I$8&gt;0)</f>
        <v>0</v>
      </c>
    </row>
    <row r="51" spans="2:5" ht="15.75" x14ac:dyDescent="0.25">
      <c r="B51" s="114"/>
      <c r="C51" s="196"/>
      <c r="D51" s="197" t="s">
        <v>814</v>
      </c>
      <c r="E51" s="435"/>
    </row>
    <row r="52" spans="2:5" x14ac:dyDescent="0.25">
      <c r="B52" s="113" t="s">
        <v>818</v>
      </c>
      <c r="C52" s="119">
        <v>3</v>
      </c>
      <c r="D52" s="187" t="str">
        <f>VLOOKUP($C52,Sprache!$D$5:$E$100,2,0)</f>
        <v>Argentinien</v>
      </c>
      <c r="E52" s="435" t="b">
        <f>OR(CalcJ!$K$5&gt;0,CalcJ!$I$5&gt;0)</f>
        <v>0</v>
      </c>
    </row>
    <row r="53" spans="2:5" x14ac:dyDescent="0.25">
      <c r="B53" s="113" t="s">
        <v>819</v>
      </c>
      <c r="C53" s="116">
        <v>28</v>
      </c>
      <c r="D53" s="187" t="str">
        <f>VLOOKUP($C53,Sprache!$D$5:$E$100,2,0)</f>
        <v>Algerien</v>
      </c>
      <c r="E53" s="435" t="b">
        <f>OR(CalcJ!$K$6&gt;0,CalcJ!$I$6&gt;0)</f>
        <v>0</v>
      </c>
    </row>
    <row r="54" spans="2:5" x14ac:dyDescent="0.25">
      <c r="B54" s="113" t="s">
        <v>820</v>
      </c>
      <c r="C54" s="119">
        <v>24</v>
      </c>
      <c r="D54" s="187" t="str">
        <f>VLOOKUP($C54,Sprache!$D$5:$E$100,2,0)</f>
        <v>Österreich</v>
      </c>
      <c r="E54" s="435" t="b">
        <f>OR(CalcJ!$K$7&gt;0,CalcJ!$I$7&gt;0)</f>
        <v>0</v>
      </c>
    </row>
    <row r="55" spans="2:5" x14ac:dyDescent="0.25">
      <c r="B55" s="113" t="s">
        <v>1027</v>
      </c>
      <c r="C55" s="261">
        <v>63</v>
      </c>
      <c r="D55" s="187" t="str">
        <f>VLOOKUP($C55,Sprache!$D$5:$E$100,2,0)</f>
        <v>Jordanien</v>
      </c>
      <c r="E55" s="435" t="b">
        <f>OR(CalcJ!$K$8&gt;0,CalcJ!$I$8&gt;0)</f>
        <v>0</v>
      </c>
    </row>
    <row r="56" spans="2:5" ht="15.75" x14ac:dyDescent="0.25">
      <c r="B56" s="114"/>
      <c r="C56" s="196"/>
      <c r="D56" s="197" t="s">
        <v>33</v>
      </c>
      <c r="E56" s="435"/>
    </row>
    <row r="57" spans="2:5" x14ac:dyDescent="0.25">
      <c r="B57" s="113" t="s">
        <v>821</v>
      </c>
      <c r="C57" s="119">
        <v>5</v>
      </c>
      <c r="D57" s="187" t="str">
        <f>VLOOKUP($C57,Sprache!$D$5:$E$100,2,0)</f>
        <v>Portugal</v>
      </c>
      <c r="E57" s="435" t="b">
        <f>OR(CalcK!$K$5&gt;0,CalcK!$I$5&gt;0)</f>
        <v>0</v>
      </c>
    </row>
    <row r="58" spans="2:5" x14ac:dyDescent="0.25">
      <c r="B58" s="113" t="s">
        <v>822</v>
      </c>
      <c r="C58" s="119">
        <v>46</v>
      </c>
      <c r="D58" s="187" t="str">
        <f>VLOOKUP($C58,Sprache!$D$5:$E$100,2,0)</f>
        <v>DR Kongo</v>
      </c>
      <c r="E58" s="435" t="b">
        <f>OR(CalcK!$K$6&gt;0,CalcK!$I$6&gt;0)</f>
        <v>0</v>
      </c>
    </row>
    <row r="59" spans="2:5" x14ac:dyDescent="0.25">
      <c r="B59" s="113" t="s">
        <v>823</v>
      </c>
      <c r="C59" s="119">
        <v>50</v>
      </c>
      <c r="D59" s="187" t="str">
        <f>VLOOKUP($C59,Sprache!$D$5:$E$100,2,0)</f>
        <v>Usbekistan</v>
      </c>
      <c r="E59" s="435" t="b">
        <f>OR(CalcK!$K$7&gt;0,CalcK!$I$7&gt;0)</f>
        <v>0</v>
      </c>
    </row>
    <row r="60" spans="2:5" x14ac:dyDescent="0.25">
      <c r="B60" s="113" t="s">
        <v>1028</v>
      </c>
      <c r="C60" s="263">
        <v>13</v>
      </c>
      <c r="D60" s="187" t="str">
        <f>VLOOKUP($C60,Sprache!$D$5:$E$100,2,0)</f>
        <v>Kolumbien</v>
      </c>
      <c r="E60" s="435" t="b">
        <f>OR(CalcK!$K$8&gt;0,CalcK!$I$8&gt;0)</f>
        <v>0</v>
      </c>
    </row>
    <row r="61" spans="2:5" ht="15.75" x14ac:dyDescent="0.25">
      <c r="B61" s="114"/>
      <c r="C61" s="196"/>
      <c r="D61" s="197" t="s">
        <v>34</v>
      </c>
      <c r="E61" s="435"/>
    </row>
    <row r="62" spans="2:5" x14ac:dyDescent="0.25">
      <c r="B62" s="113" t="s">
        <v>824</v>
      </c>
      <c r="C62" s="119">
        <v>4</v>
      </c>
      <c r="D62" s="187" t="str">
        <f>VLOOKUP($C62,Sprache!$D$5:$E$100,2,0)</f>
        <v>England</v>
      </c>
      <c r="E62" s="435" t="b">
        <f>OR(CalcL!$K$5&gt;0,CalcL!$I$5&gt;0)</f>
        <v>0</v>
      </c>
    </row>
    <row r="63" spans="2:5" x14ac:dyDescent="0.25">
      <c r="B63" s="113" t="s">
        <v>825</v>
      </c>
      <c r="C63" s="119">
        <v>11</v>
      </c>
      <c r="D63" s="187" t="str">
        <f>VLOOKUP($C63,Sprache!$D$5:$E$100,2,0)</f>
        <v>Kroatien</v>
      </c>
      <c r="E63" s="435" t="b">
        <f>OR(CalcL!$K$6&gt;0,CalcL!$I$6&gt;0)</f>
        <v>0</v>
      </c>
    </row>
    <row r="64" spans="2:5" x14ac:dyDescent="0.25">
      <c r="B64" s="113" t="s">
        <v>826</v>
      </c>
      <c r="C64" s="119">
        <v>74</v>
      </c>
      <c r="D64" s="187" t="str">
        <f>VLOOKUP($C64,Sprache!$D$5:$E$100,2,0)</f>
        <v>Ghana</v>
      </c>
      <c r="E64" s="435" t="b">
        <f>OR(CalcL!$K$7&gt;0,CalcL!$I$7&gt;0)</f>
        <v>0</v>
      </c>
    </row>
    <row r="65" spans="2:5" ht="15.75" thickBot="1" x14ac:dyDescent="0.3">
      <c r="B65" s="115" t="s">
        <v>1029</v>
      </c>
      <c r="C65" s="264">
        <v>33</v>
      </c>
      <c r="D65" s="265" t="str">
        <f>VLOOKUP($C65,Sprache!$D$5:$E$100,2,0)</f>
        <v>Panama</v>
      </c>
      <c r="E65" s="436" t="b">
        <f>OR(CalcL!$K$8&gt;0,CalcL!$I$8&gt;0)</f>
        <v>0</v>
      </c>
    </row>
    <row r="66" spans="2:5" ht="15.75" thickTop="1" x14ac:dyDescent="0.25"/>
    <row r="67" spans="2:5" x14ac:dyDescent="0.25"/>
    <row r="68" spans="2:5" x14ac:dyDescent="0.25"/>
  </sheetData>
  <sheetProtection sheet="1" objects="1" scenarios="1" selectLockedCells="1"/>
  <mergeCells count="4">
    <mergeCell ref="B4:B5"/>
    <mergeCell ref="C4:C5"/>
    <mergeCell ref="D4:D5"/>
    <mergeCell ref="B2:D2"/>
  </mergeCells>
  <conditionalFormatting sqref="B4:B5">
    <cfRule type="expression" dxfId="3" priority="3">
      <formula>XEY8</formula>
    </cfRule>
  </conditionalFormatting>
  <conditionalFormatting sqref="C4:C5">
    <cfRule type="expression" dxfId="2" priority="2">
      <formula>XEZ8</formula>
    </cfRule>
  </conditionalFormatting>
  <conditionalFormatting sqref="D4:D5">
    <cfRule type="expression" dxfId="1" priority="1">
      <formula>XFA8</formula>
    </cfRule>
  </conditionalFormatting>
  <pageMargins left="0.7" right="0.7" top="0.78740157499999996" bottom="0.78740157499999996"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Y117"/>
  <sheetViews>
    <sheetView showGridLines="0" showRowColHeaders="0" zoomScaleNormal="100" workbookViewId="0">
      <selection activeCell="E4" sqref="E4"/>
    </sheetView>
  </sheetViews>
  <sheetFormatPr baseColWidth="10" defaultColWidth="0" defaultRowHeight="15" zeroHeight="1" x14ac:dyDescent="0.25"/>
  <cols>
    <col min="1" max="1" width="11.42578125" customWidth="1"/>
    <col min="2" max="2" width="9.28515625" customWidth="1"/>
    <col min="3" max="3" width="7.28515625" style="110" customWidth="1"/>
    <col min="4" max="4" width="8.85546875" style="110"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3.5703125" style="110" customWidth="1"/>
    <col min="14" max="14" width="23" style="110" customWidth="1"/>
    <col min="15" max="16" width="4.7109375" style="110" customWidth="1"/>
    <col min="17" max="24" width="4.7109375" style="110" hidden="1" customWidth="1"/>
    <col min="25" max="25" width="5.140625" hidden="1" customWidth="1"/>
    <col min="26" max="16384" width="11.42578125" hidden="1"/>
  </cols>
  <sheetData>
    <row r="1" spans="1:24" ht="28.5" x14ac:dyDescent="0.45">
      <c r="A1" s="107"/>
      <c r="B1" s="769" t="str">
        <f>Sprache!$E$125</f>
        <v>Spiele</v>
      </c>
      <c r="C1" s="769"/>
      <c r="D1" s="769"/>
      <c r="E1" s="769"/>
      <c r="F1" s="769"/>
      <c r="G1" s="769"/>
      <c r="H1" s="769"/>
      <c r="I1" s="769"/>
      <c r="J1" s="769"/>
    </row>
    <row r="2" spans="1:24" ht="18.75" customHeight="1" thickBot="1" x14ac:dyDescent="0.5">
      <c r="A2" s="106"/>
      <c r="B2" s="59"/>
      <c r="C2" s="59"/>
      <c r="D2" s="59"/>
      <c r="E2" s="59"/>
      <c r="F2" s="59"/>
      <c r="G2" s="59"/>
      <c r="H2" s="59"/>
      <c r="I2" s="59"/>
      <c r="J2" s="59"/>
      <c r="M2" s="184"/>
      <c r="N2" s="184"/>
      <c r="O2" s="184"/>
      <c r="P2" s="184"/>
      <c r="Q2" s="184"/>
      <c r="R2" s="184"/>
      <c r="S2" s="184"/>
      <c r="T2" s="184"/>
      <c r="U2" s="184"/>
      <c r="V2" s="184"/>
      <c r="W2" s="184"/>
      <c r="X2" s="184"/>
    </row>
    <row r="3" spans="1:24" ht="30" customHeight="1" thickTop="1" thickBot="1" x14ac:dyDescent="0.3">
      <c r="A3" s="106"/>
      <c r="B3" s="105" t="s">
        <v>379</v>
      </c>
      <c r="C3" s="770" t="s">
        <v>302</v>
      </c>
      <c r="D3" s="770"/>
      <c r="E3" s="93" t="s">
        <v>382</v>
      </c>
      <c r="F3" s="93" t="s">
        <v>534</v>
      </c>
      <c r="G3" s="168" t="s">
        <v>377</v>
      </c>
      <c r="H3" s="93" t="s">
        <v>378</v>
      </c>
      <c r="I3" s="93" t="s">
        <v>282</v>
      </c>
      <c r="J3" s="93" t="s">
        <v>283</v>
      </c>
      <c r="K3" s="94" t="s">
        <v>388</v>
      </c>
    </row>
    <row r="4" spans="1:24" x14ac:dyDescent="0.25">
      <c r="B4" s="180">
        <v>1</v>
      </c>
      <c r="C4" s="178" t="s">
        <v>170</v>
      </c>
      <c r="D4" s="179" t="s">
        <v>171</v>
      </c>
      <c r="E4" s="160">
        <v>46184.625</v>
      </c>
      <c r="F4" s="66">
        <f>$E4-VLOOKUP($G4,Zeitzone!$L$4:$O$19,4,0)+VLOOKUP(Zeitzone!$H$1,Zeitzone!$C$4:$E$40,3,0)</f>
        <v>46184.875</v>
      </c>
      <c r="G4" s="171">
        <v>14</v>
      </c>
      <c r="H4" s="170" t="str">
        <f>VLOOKUP($G4,Sprache!$D$103:$E$118,2,0)</f>
        <v>Mexico City</v>
      </c>
      <c r="I4" s="103" t="str">
        <f>VLOOKUP(C4,Groups!$B$7:$D$65,3,0)</f>
        <v>Mexiko</v>
      </c>
      <c r="J4" s="103" t="str">
        <f>VLOOKUP(D4,Groups!$B$7:$D$65,3,0)</f>
        <v>Südafrika</v>
      </c>
      <c r="K4" s="95"/>
      <c r="N4" s="85"/>
    </row>
    <row r="5" spans="1:24" x14ac:dyDescent="0.25">
      <c r="B5" s="180">
        <v>2</v>
      </c>
      <c r="C5" s="178" t="s">
        <v>172</v>
      </c>
      <c r="D5" s="179" t="s">
        <v>1018</v>
      </c>
      <c r="E5" s="160">
        <v>46184.916666666664</v>
      </c>
      <c r="F5" s="66">
        <f>$E5-VLOOKUP($G5,Zeitzone!$L$4:$O$19,4,0)+VLOOKUP(Zeitzone!$H$1,Zeitzone!$C$4:$E$40,3,0)</f>
        <v>46185.166666666664</v>
      </c>
      <c r="G5" s="173">
        <v>15</v>
      </c>
      <c r="H5" s="170" t="str">
        <f>VLOOKUP($G5,Sprache!$D$103:$E$118,2,0)</f>
        <v>Guadalajara</v>
      </c>
      <c r="I5" s="103" t="str">
        <f>VLOOKUP(C5,Groups!$B$7:$D$65,3,0)</f>
        <v>Südkorea</v>
      </c>
      <c r="J5" s="103" t="str">
        <f>VLOOKUP(D5,Groups!$B$7:$D$65,3,0)</f>
        <v>Tschechien</v>
      </c>
      <c r="K5" s="95"/>
    </row>
    <row r="6" spans="1:24" x14ac:dyDescent="0.25">
      <c r="B6" s="180">
        <v>3</v>
      </c>
      <c r="C6" s="178" t="s">
        <v>173</v>
      </c>
      <c r="D6" s="179" t="s">
        <v>174</v>
      </c>
      <c r="E6" s="160">
        <v>46185.625</v>
      </c>
      <c r="F6" s="66">
        <f>$E6-VLOOKUP($G6,Zeitzone!$L$4:$O$19,4,0)+VLOOKUP(Zeitzone!$H$1,Zeitzone!$C$4:$E$40,3,0)</f>
        <v>46185.875</v>
      </c>
      <c r="G6" s="173">
        <v>2</v>
      </c>
      <c r="H6" s="170" t="str">
        <f>VLOOKUP($G6,Sprache!$D$103:$E$118,2,0)</f>
        <v>Toronto</v>
      </c>
      <c r="I6" s="103" t="str">
        <f>VLOOKUP(C6,Groups!$B$7:$D$65,3,0)</f>
        <v>Kanada</v>
      </c>
      <c r="J6" s="103" t="str">
        <f>VLOOKUP(D6,Groups!$B$7:$D$65,3,0)</f>
        <v>Bosnien/Herzeg.</v>
      </c>
      <c r="K6" s="95"/>
    </row>
    <row r="7" spans="1:24" x14ac:dyDescent="0.25">
      <c r="B7" s="180">
        <v>4</v>
      </c>
      <c r="C7" s="178" t="s">
        <v>179</v>
      </c>
      <c r="D7" s="179" t="s">
        <v>180</v>
      </c>
      <c r="E7" s="160">
        <v>46185.875</v>
      </c>
      <c r="F7" s="66">
        <f>$E7-VLOOKUP($G7,Zeitzone!$L$4:$O$19,4,0)+VLOOKUP(Zeitzone!$H$1,Zeitzone!$C$4:$E$40,3,0)</f>
        <v>46186.125</v>
      </c>
      <c r="G7" s="173">
        <v>8</v>
      </c>
      <c r="H7" s="170" t="str">
        <f>VLOOKUP($G7,Sprache!$D$103:$E$118,2,0)</f>
        <v>Los Angeles</v>
      </c>
      <c r="I7" s="103" t="str">
        <f>VLOOKUP(C7,Groups!$B$7:$D$65,3,0)</f>
        <v>USA</v>
      </c>
      <c r="J7" s="103" t="str">
        <f>VLOOKUP(D7,Groups!$B$7:$D$65,3,0)</f>
        <v>Paraguay</v>
      </c>
      <c r="K7" s="95"/>
    </row>
    <row r="8" spans="1:24" x14ac:dyDescent="0.25">
      <c r="B8" s="180">
        <v>5</v>
      </c>
      <c r="C8" s="178" t="s">
        <v>178</v>
      </c>
      <c r="D8" s="179" t="s">
        <v>1020</v>
      </c>
      <c r="E8" s="160">
        <v>46186.875</v>
      </c>
      <c r="F8" s="66">
        <f>$E8-VLOOKUP($G8,Zeitzone!$L$4:$O$19,4,0)+VLOOKUP(Zeitzone!$H$1,Zeitzone!$C$4:$E$40,3,0)</f>
        <v>46187.125</v>
      </c>
      <c r="G8" s="173">
        <v>12</v>
      </c>
      <c r="H8" s="170" t="str">
        <f>VLOOKUP($G8,Sprache!$D$103:$E$118,2,0)</f>
        <v>Boston</v>
      </c>
      <c r="I8" s="103" t="str">
        <f>VLOOKUP(C8,Groups!$B$7:$D$65,3,0)</f>
        <v>Haiti</v>
      </c>
      <c r="J8" s="103" t="str">
        <f>VLOOKUP(D8,Groups!$B$7:$D$65,3,0)</f>
        <v>Schottland</v>
      </c>
      <c r="K8" s="95"/>
    </row>
    <row r="9" spans="1:24" x14ac:dyDescent="0.25">
      <c r="B9" s="180">
        <v>6</v>
      </c>
      <c r="C9" s="178" t="s">
        <v>181</v>
      </c>
      <c r="D9" s="179" t="s">
        <v>1021</v>
      </c>
      <c r="E9" s="160">
        <v>46187</v>
      </c>
      <c r="F9" s="66">
        <f>$E9-VLOOKUP($G9,Zeitzone!$L$4:$O$19,4,0)+VLOOKUP(Zeitzone!$H$1,Zeitzone!$C$4:$E$40,3,0)</f>
        <v>46187.25</v>
      </c>
      <c r="G9" s="173">
        <v>1</v>
      </c>
      <c r="H9" s="170" t="str">
        <f>VLOOKUP($G9,Sprache!$D$103:$E$118,2,0)</f>
        <v>Vancouver</v>
      </c>
      <c r="I9" s="103" t="str">
        <f>VLOOKUP(C9,Groups!$B$7:$D$65,3,0)</f>
        <v>Australien</v>
      </c>
      <c r="J9" s="103" t="str">
        <f>VLOOKUP(D9,Groups!$B$7:$D$65,3,0)</f>
        <v>Türkei</v>
      </c>
      <c r="K9" s="95"/>
    </row>
    <row r="10" spans="1:24" x14ac:dyDescent="0.25">
      <c r="B10" s="180">
        <v>7</v>
      </c>
      <c r="C10" s="178" t="s">
        <v>176</v>
      </c>
      <c r="D10" s="179" t="s">
        <v>177</v>
      </c>
      <c r="E10" s="160">
        <v>46186.75</v>
      </c>
      <c r="F10" s="66">
        <f>$E10-VLOOKUP($G10,Zeitzone!$L$4:$O$19,4,0)+VLOOKUP(Zeitzone!$H$1,Zeitzone!$C$4:$E$40,3,0)</f>
        <v>46187</v>
      </c>
      <c r="G10" s="173">
        <v>3</v>
      </c>
      <c r="H10" s="170" t="str">
        <f>VLOOKUP($G10,Sprache!$D$103:$E$118,2,0)</f>
        <v>New York/New Jersey</v>
      </c>
      <c r="I10" s="103" t="str">
        <f>VLOOKUP(C10,Groups!$B$7:$D$65,3,0)</f>
        <v>Brasilien</v>
      </c>
      <c r="J10" s="103" t="str">
        <f>VLOOKUP(D10,Groups!$B$7:$D$65,3,0)</f>
        <v>Marokko</v>
      </c>
      <c r="K10" s="95"/>
    </row>
    <row r="11" spans="1:24" x14ac:dyDescent="0.25">
      <c r="B11" s="180">
        <v>8</v>
      </c>
      <c r="C11" s="178" t="s">
        <v>175</v>
      </c>
      <c r="D11" s="179" t="s">
        <v>1019</v>
      </c>
      <c r="E11" s="160">
        <v>46186.625</v>
      </c>
      <c r="F11" s="66">
        <f>$E11-VLOOKUP($G11,Zeitzone!$L$4:$O$19,4,0)+VLOOKUP(Zeitzone!$H$1,Zeitzone!$C$4:$E$40,3,0)</f>
        <v>46186.875</v>
      </c>
      <c r="G11" s="173">
        <v>11</v>
      </c>
      <c r="H11" s="170" t="str">
        <f>VLOOKUP($G11,Sprache!$D$103:$E$118,2,0)</f>
        <v>San Francisco Bay Area</v>
      </c>
      <c r="I11" s="103" t="str">
        <f>VLOOKUP(C11,Groups!$B$7:$D$65,3,0)</f>
        <v>Katar</v>
      </c>
      <c r="J11" s="103" t="str">
        <f>VLOOKUP(D11,Groups!$B$7:$D$65,3,0)</f>
        <v>Schweiz</v>
      </c>
      <c r="K11" s="95"/>
    </row>
    <row r="12" spans="1:24" x14ac:dyDescent="0.25">
      <c r="B12" s="180">
        <v>9</v>
      </c>
      <c r="C12" s="178" t="s">
        <v>184</v>
      </c>
      <c r="D12" s="179" t="s">
        <v>1022</v>
      </c>
      <c r="E12" s="160">
        <v>46187.791666666664</v>
      </c>
      <c r="F12" s="66">
        <f>$E12-VLOOKUP($G12,Zeitzone!$L$4:$O$19,4,0)+VLOOKUP(Zeitzone!$H$1,Zeitzone!$C$4:$E$40,3,0)</f>
        <v>46188.041666666664</v>
      </c>
      <c r="G12" s="173">
        <v>9</v>
      </c>
      <c r="H12" s="170" t="str">
        <f>VLOOKUP($G12,Sprache!$D$103:$E$118,2,0)</f>
        <v>Philadelphia</v>
      </c>
      <c r="I12" s="103" t="str">
        <f>VLOOKUP(C12,Groups!$B$7:$D$65,3,0)</f>
        <v>Elfenbeinküste</v>
      </c>
      <c r="J12" s="103" t="str">
        <f>VLOOKUP(D12,Groups!$B$7:$D$65,3,0)</f>
        <v>Ecuador</v>
      </c>
      <c r="K12" s="95"/>
    </row>
    <row r="13" spans="1:24" x14ac:dyDescent="0.25">
      <c r="B13" s="180">
        <v>10</v>
      </c>
      <c r="C13" s="178" t="s">
        <v>182</v>
      </c>
      <c r="D13" s="179" t="s">
        <v>183</v>
      </c>
      <c r="E13" s="160">
        <v>46187.541666666664</v>
      </c>
      <c r="F13" s="66">
        <f>$E13-VLOOKUP($G13,Zeitzone!$L$4:$O$19,4,0)+VLOOKUP(Zeitzone!$H$1,Zeitzone!$C$4:$E$40,3,0)</f>
        <v>46187.791666666664</v>
      </c>
      <c r="G13" s="173">
        <v>6</v>
      </c>
      <c r="H13" s="170" t="str">
        <f>VLOOKUP($G13,Sprache!$D$103:$E$118,2,0)</f>
        <v>Houston</v>
      </c>
      <c r="I13" s="103" t="str">
        <f>VLOOKUP(C13,Groups!$B$7:$D$65,3,0)</f>
        <v>Deutschland</v>
      </c>
      <c r="J13" s="103" t="str">
        <f>VLOOKUP(D13,Groups!$B$7:$D$65,3,0)</f>
        <v>Curaçao</v>
      </c>
      <c r="K13" s="95"/>
    </row>
    <row r="14" spans="1:24" x14ac:dyDescent="0.25">
      <c r="B14" s="180">
        <v>11</v>
      </c>
      <c r="C14" s="178" t="s">
        <v>264</v>
      </c>
      <c r="D14" s="179" t="s">
        <v>265</v>
      </c>
      <c r="E14" s="160">
        <v>46187.666666666664</v>
      </c>
      <c r="F14" s="66">
        <f>$E14-VLOOKUP($G14,Zeitzone!$L$4:$O$19,4,0)+VLOOKUP(Zeitzone!$H$1,Zeitzone!$C$4:$E$40,3,0)</f>
        <v>46187.916666666664</v>
      </c>
      <c r="G14" s="173">
        <v>5</v>
      </c>
      <c r="H14" s="170" t="str">
        <f>VLOOKUP($G14,Sprache!$D$103:$E$118,2,0)</f>
        <v>Dallas</v>
      </c>
      <c r="I14" s="103" t="str">
        <f>VLOOKUP(C14,Groups!$B$7:$D$65,3,0)</f>
        <v>Niederlande</v>
      </c>
      <c r="J14" s="103" t="str">
        <f>VLOOKUP(D14,Groups!$B$7:$D$65,3,0)</f>
        <v>Japan</v>
      </c>
      <c r="K14" s="95"/>
    </row>
    <row r="15" spans="1:24" x14ac:dyDescent="0.25">
      <c r="B15" s="180">
        <v>12</v>
      </c>
      <c r="C15" s="178" t="s">
        <v>266</v>
      </c>
      <c r="D15" s="179" t="s">
        <v>1023</v>
      </c>
      <c r="E15" s="160">
        <v>46187.916666666664</v>
      </c>
      <c r="F15" s="66">
        <f>$E15-VLOOKUP($G15,Zeitzone!$L$4:$O$19,4,0)+VLOOKUP(Zeitzone!$H$1,Zeitzone!$C$4:$E$40,3,0)</f>
        <v>46188.166666666664</v>
      </c>
      <c r="G15" s="173">
        <v>16</v>
      </c>
      <c r="H15" s="170" t="str">
        <f>VLOOKUP($G15,Sprache!$D$103:$E$118,2,0)</f>
        <v>Monterrey</v>
      </c>
      <c r="I15" s="103" t="str">
        <f>VLOOKUP(C15,Groups!$B$7:$D$65,3,0)</f>
        <v>Schweden</v>
      </c>
      <c r="J15" s="103" t="str">
        <f>VLOOKUP(D15,Groups!$B$7:$D$65,3,0)</f>
        <v>Tunesien</v>
      </c>
      <c r="K15" s="95"/>
    </row>
    <row r="16" spans="1:24" x14ac:dyDescent="0.25">
      <c r="B16" s="180">
        <v>13</v>
      </c>
      <c r="C16" s="178" t="s">
        <v>269</v>
      </c>
      <c r="D16" s="179" t="s">
        <v>1025</v>
      </c>
      <c r="E16" s="160">
        <v>46188.75</v>
      </c>
      <c r="F16" s="66">
        <f>$E16-VLOOKUP($G16,Zeitzone!$L$4:$O$19,4,0)+VLOOKUP(Zeitzone!$H$1,Zeitzone!$C$4:$E$40,3,0)</f>
        <v>46189</v>
      </c>
      <c r="G16" s="173">
        <v>13</v>
      </c>
      <c r="H16" s="170" t="str">
        <f>VLOOKUP($G16,Sprache!$D$103:$E$118,2,0)</f>
        <v>Miami</v>
      </c>
      <c r="I16" s="103" t="str">
        <f>VLOOKUP(C16,Groups!$B$7:$D$65,3,0)</f>
        <v>Saudiarabien</v>
      </c>
      <c r="J16" s="103" t="str">
        <f>VLOOKUP(D16,Groups!$B$7:$D$65,3,0)</f>
        <v>Uruguay</v>
      </c>
      <c r="K16" s="95"/>
    </row>
    <row r="17" spans="2:24" x14ac:dyDescent="0.25">
      <c r="B17" s="180">
        <v>14</v>
      </c>
      <c r="C17" s="178" t="s">
        <v>267</v>
      </c>
      <c r="D17" s="179" t="s">
        <v>268</v>
      </c>
      <c r="E17" s="160">
        <v>46188.5</v>
      </c>
      <c r="F17" s="66">
        <f>$E17-VLOOKUP($G17,Zeitzone!$L$4:$O$19,4,0)+VLOOKUP(Zeitzone!$H$1,Zeitzone!$C$4:$E$40,3,0)</f>
        <v>46188.75</v>
      </c>
      <c r="G17" s="173">
        <v>7</v>
      </c>
      <c r="H17" s="170" t="str">
        <f>VLOOKUP($G17,Sprache!$D$103:$E$118,2,0)</f>
        <v>Atlanta</v>
      </c>
      <c r="I17" s="103" t="str">
        <f>VLOOKUP(C17,Groups!$B$7:$D$65,3,0)</f>
        <v>Spanien</v>
      </c>
      <c r="J17" s="103" t="str">
        <f>VLOOKUP(D17,Groups!$B$7:$D$65,3,0)</f>
        <v>Kap Verde</v>
      </c>
      <c r="K17" s="95"/>
    </row>
    <row r="18" spans="2:24" x14ac:dyDescent="0.25">
      <c r="B18" s="180">
        <v>15</v>
      </c>
      <c r="C18" s="178" t="s">
        <v>187</v>
      </c>
      <c r="D18" s="179" t="s">
        <v>1024</v>
      </c>
      <c r="E18" s="160">
        <v>46188.875</v>
      </c>
      <c r="F18" s="66">
        <f>$E18-VLOOKUP($G18,Zeitzone!$L$4:$O$19,4,0)+VLOOKUP(Zeitzone!$H$1,Zeitzone!$C$4:$E$40,3,0)</f>
        <v>46189.125</v>
      </c>
      <c r="G18" s="173">
        <v>8</v>
      </c>
      <c r="H18" s="170" t="str">
        <f>VLOOKUP($G18,Sprache!$D$103:$E$118,2,0)</f>
        <v>Los Angeles</v>
      </c>
      <c r="I18" s="103" t="str">
        <f>VLOOKUP(C18,Groups!$B$7:$D$65,3,0)</f>
        <v>IR Iran</v>
      </c>
      <c r="J18" s="103" t="str">
        <f>VLOOKUP(D18,Groups!$B$7:$D$65,3,0)</f>
        <v>Neuseeland</v>
      </c>
      <c r="K18" s="95"/>
    </row>
    <row r="19" spans="2:24" x14ac:dyDescent="0.25">
      <c r="B19" s="180">
        <v>16</v>
      </c>
      <c r="C19" s="178" t="s">
        <v>185</v>
      </c>
      <c r="D19" s="179" t="s">
        <v>186</v>
      </c>
      <c r="E19" s="160">
        <v>46188.625</v>
      </c>
      <c r="F19" s="66">
        <f>$E19-VLOOKUP($G19,Zeitzone!$L$4:$O$19,4,0)+VLOOKUP(Zeitzone!$H$1,Zeitzone!$C$4:$E$40,3,0)</f>
        <v>46188.875</v>
      </c>
      <c r="G19" s="173">
        <v>10</v>
      </c>
      <c r="H19" s="170" t="str">
        <f>VLOOKUP($G19,Sprache!$D$103:$E$118,2,0)</f>
        <v>Seattle</v>
      </c>
      <c r="I19" s="103" t="str">
        <f>VLOOKUP(C19,Groups!$B$7:$D$65,3,0)</f>
        <v>Belgien</v>
      </c>
      <c r="J19" s="103" t="str">
        <f>VLOOKUP(D19,Groups!$B$7:$D$65,3,0)</f>
        <v>Ägypten</v>
      </c>
      <c r="K19" s="95"/>
    </row>
    <row r="20" spans="2:24" x14ac:dyDescent="0.25">
      <c r="B20" s="180">
        <v>17</v>
      </c>
      <c r="C20" s="178" t="s">
        <v>815</v>
      </c>
      <c r="D20" s="179" t="s">
        <v>816</v>
      </c>
      <c r="E20" s="160">
        <v>46189.625</v>
      </c>
      <c r="F20" s="66">
        <f>$E20-VLOOKUP($G20,Zeitzone!$L$4:$O$19,4,0)+VLOOKUP(Zeitzone!$H$1,Zeitzone!$C$4:$E$40,3,0)</f>
        <v>46189.875</v>
      </c>
      <c r="G20" s="173">
        <v>3</v>
      </c>
      <c r="H20" s="170" t="str">
        <f>VLOOKUP($G20,Sprache!$D$103:$E$118,2,0)</f>
        <v>New York/New Jersey</v>
      </c>
      <c r="I20" s="103" t="str">
        <f>VLOOKUP(C20,Groups!$B$7:$D$65,3,0)</f>
        <v>Frankreich</v>
      </c>
      <c r="J20" s="103" t="str">
        <f>VLOOKUP(D20,Groups!$B$7:$D$65,3,0)</f>
        <v>Senegal</v>
      </c>
      <c r="K20" s="95"/>
      <c r="M20" s="184"/>
      <c r="N20" s="184"/>
      <c r="O20" s="184"/>
      <c r="P20" s="184"/>
      <c r="Q20" s="184"/>
      <c r="R20" s="184"/>
      <c r="S20" s="184"/>
      <c r="T20" s="184"/>
      <c r="U20" s="184"/>
      <c r="V20" s="184"/>
      <c r="W20" s="184"/>
      <c r="X20" s="184"/>
    </row>
    <row r="21" spans="2:24" x14ac:dyDescent="0.25">
      <c r="B21" s="180">
        <v>18</v>
      </c>
      <c r="C21" s="178" t="s">
        <v>817</v>
      </c>
      <c r="D21" s="179" t="s">
        <v>1026</v>
      </c>
      <c r="E21" s="160">
        <v>46189.75</v>
      </c>
      <c r="F21" s="66">
        <f>$E21-VLOOKUP($G21,Zeitzone!$L$4:$O$19,4,0)+VLOOKUP(Zeitzone!$H$1,Zeitzone!$C$4:$E$40,3,0)</f>
        <v>46190</v>
      </c>
      <c r="G21" s="173">
        <v>12</v>
      </c>
      <c r="H21" s="170" t="str">
        <f>VLOOKUP($G21,Sprache!$D$103:$E$118,2,0)</f>
        <v>Boston</v>
      </c>
      <c r="I21" s="103" t="str">
        <f>VLOOKUP(C21,Groups!$B$7:$D$65,3,0)</f>
        <v>Irak</v>
      </c>
      <c r="J21" s="103" t="str">
        <f>VLOOKUP(D21,Groups!$B$7:$D$65,3,0)</f>
        <v>Norwegen</v>
      </c>
      <c r="K21" s="95"/>
      <c r="M21" s="184"/>
      <c r="N21" s="184"/>
      <c r="O21" s="184"/>
      <c r="P21" s="184"/>
      <c r="Q21" s="184"/>
      <c r="R21" s="184"/>
      <c r="S21" s="184"/>
      <c r="T21" s="184"/>
      <c r="U21" s="184"/>
      <c r="V21" s="184"/>
      <c r="W21" s="184"/>
      <c r="X21" s="184"/>
    </row>
    <row r="22" spans="2:24" x14ac:dyDescent="0.25">
      <c r="B22" s="180">
        <v>19</v>
      </c>
      <c r="C22" s="178" t="s">
        <v>818</v>
      </c>
      <c r="D22" s="179" t="s">
        <v>819</v>
      </c>
      <c r="E22" s="160">
        <v>46189.875</v>
      </c>
      <c r="F22" s="66">
        <f>$E22-VLOOKUP($G22,Zeitzone!$L$4:$O$19,4,0)+VLOOKUP(Zeitzone!$H$1,Zeitzone!$C$4:$E$40,3,0)</f>
        <v>46190.125</v>
      </c>
      <c r="G22" s="173">
        <v>4</v>
      </c>
      <c r="H22" s="170" t="str">
        <f>VLOOKUP($G22,Sprache!$D$103:$E$118,2,0)</f>
        <v>Kansas City</v>
      </c>
      <c r="I22" s="103" t="str">
        <f>VLOOKUP(C22,Groups!$B$7:$D$65,3,0)</f>
        <v>Argentinien</v>
      </c>
      <c r="J22" s="103" t="str">
        <f>VLOOKUP(D22,Groups!$B$7:$D$65,3,0)</f>
        <v>Algerien</v>
      </c>
      <c r="K22" s="95"/>
      <c r="M22" s="184"/>
      <c r="N22" s="184"/>
      <c r="O22" s="184"/>
      <c r="P22" s="184"/>
      <c r="Q22" s="184"/>
      <c r="R22" s="184"/>
      <c r="S22" s="184"/>
      <c r="T22" s="184"/>
      <c r="U22" s="184"/>
      <c r="V22" s="184"/>
      <c r="W22" s="184"/>
      <c r="X22" s="184"/>
    </row>
    <row r="23" spans="2:24" x14ac:dyDescent="0.25">
      <c r="B23" s="180">
        <v>20</v>
      </c>
      <c r="C23" s="178" t="s">
        <v>820</v>
      </c>
      <c r="D23" s="179" t="s">
        <v>1027</v>
      </c>
      <c r="E23" s="160">
        <v>46190</v>
      </c>
      <c r="F23" s="66">
        <f>$E23-VLOOKUP($G23,Zeitzone!$L$4:$O$19,4,0)+VLOOKUP(Zeitzone!$H$1,Zeitzone!$C$4:$E$40,3,0)</f>
        <v>46190.25</v>
      </c>
      <c r="G23" s="173">
        <v>11</v>
      </c>
      <c r="H23" s="170" t="str">
        <f>VLOOKUP($G23,Sprache!$D$103:$E$118,2,0)</f>
        <v>San Francisco Bay Area</v>
      </c>
      <c r="I23" s="103" t="str">
        <f>VLOOKUP(C23,Groups!$B$7:$D$65,3,0)</f>
        <v>Österreich</v>
      </c>
      <c r="J23" s="103" t="str">
        <f>VLOOKUP(D23,Groups!$B$7:$D$65,3,0)</f>
        <v>Jordanien</v>
      </c>
      <c r="K23" s="95"/>
      <c r="M23" s="184"/>
      <c r="N23" s="184"/>
      <c r="O23" s="184"/>
      <c r="P23" s="184"/>
      <c r="Q23" s="184"/>
      <c r="R23" s="184"/>
      <c r="S23" s="184"/>
      <c r="T23" s="184"/>
      <c r="U23" s="184"/>
      <c r="V23" s="184"/>
      <c r="W23" s="184"/>
      <c r="X23" s="184"/>
    </row>
    <row r="24" spans="2:24" x14ac:dyDescent="0.25">
      <c r="B24" s="180">
        <v>21</v>
      </c>
      <c r="C24" s="178" t="s">
        <v>826</v>
      </c>
      <c r="D24" s="179" t="s">
        <v>1029</v>
      </c>
      <c r="E24" s="160">
        <v>46190.791666666664</v>
      </c>
      <c r="F24" s="66">
        <f>$E24-VLOOKUP($G24,Zeitzone!$L$4:$O$19,4,0)+VLOOKUP(Zeitzone!$H$1,Zeitzone!$C$4:$E$40,3,0)</f>
        <v>46191.041666666664</v>
      </c>
      <c r="G24" s="173">
        <v>2</v>
      </c>
      <c r="H24" s="170" t="str">
        <f>VLOOKUP($G24,Sprache!$D$103:$E$118,2,0)</f>
        <v>Toronto</v>
      </c>
      <c r="I24" s="103" t="str">
        <f>VLOOKUP(C24,Groups!$B$7:$D$65,3,0)</f>
        <v>Ghana</v>
      </c>
      <c r="J24" s="103" t="str">
        <f>VLOOKUP(D24,Groups!$B$7:$D$65,3,0)</f>
        <v>Panama</v>
      </c>
      <c r="K24" s="95"/>
      <c r="M24" s="184"/>
      <c r="N24" s="184"/>
      <c r="O24" s="184"/>
      <c r="P24" s="184"/>
      <c r="Q24" s="184"/>
      <c r="R24" s="184"/>
      <c r="S24" s="184"/>
      <c r="T24" s="184"/>
      <c r="U24" s="184"/>
      <c r="V24" s="184"/>
      <c r="W24" s="184"/>
      <c r="X24" s="184"/>
    </row>
    <row r="25" spans="2:24" x14ac:dyDescent="0.25">
      <c r="B25" s="180">
        <v>22</v>
      </c>
      <c r="C25" s="178" t="s">
        <v>824</v>
      </c>
      <c r="D25" s="179" t="s">
        <v>825</v>
      </c>
      <c r="E25" s="160">
        <v>46190.666666666664</v>
      </c>
      <c r="F25" s="66">
        <f>$E25-VLOOKUP($G25,Zeitzone!$L$4:$O$19,4,0)+VLOOKUP(Zeitzone!$H$1,Zeitzone!$C$4:$E$40,3,0)</f>
        <v>46190.916666666664</v>
      </c>
      <c r="G25" s="173">
        <v>5</v>
      </c>
      <c r="H25" s="170" t="str">
        <f>VLOOKUP($G25,Sprache!$D$103:$E$118,2,0)</f>
        <v>Dallas</v>
      </c>
      <c r="I25" s="103" t="str">
        <f>VLOOKUP(C25,Groups!$B$7:$D$65,3,0)</f>
        <v>England</v>
      </c>
      <c r="J25" s="103" t="str">
        <f>VLOOKUP(D25,Groups!$B$7:$D$65,3,0)</f>
        <v>Kroatien</v>
      </c>
      <c r="K25" s="95"/>
      <c r="M25" s="184"/>
      <c r="N25" s="184"/>
      <c r="O25" s="184"/>
      <c r="P25" s="184"/>
      <c r="Q25" s="184"/>
      <c r="R25" s="184"/>
      <c r="S25" s="184"/>
      <c r="T25" s="184"/>
      <c r="U25" s="184"/>
      <c r="V25" s="184"/>
      <c r="W25" s="184"/>
      <c r="X25" s="184"/>
    </row>
    <row r="26" spans="2:24" x14ac:dyDescent="0.25">
      <c r="B26" s="180">
        <v>23</v>
      </c>
      <c r="C26" s="178" t="s">
        <v>821</v>
      </c>
      <c r="D26" s="179" t="s">
        <v>822</v>
      </c>
      <c r="E26" s="160">
        <v>46190.541666666664</v>
      </c>
      <c r="F26" s="66">
        <f>$E26-VLOOKUP($G26,Zeitzone!$L$4:$O$19,4,0)+VLOOKUP(Zeitzone!$H$1,Zeitzone!$C$4:$E$40,3,0)</f>
        <v>46190.791666666664</v>
      </c>
      <c r="G26" s="173">
        <v>6</v>
      </c>
      <c r="H26" s="170" t="str">
        <f>VLOOKUP($G26,Sprache!$D$103:$E$118,2,0)</f>
        <v>Houston</v>
      </c>
      <c r="I26" s="103" t="str">
        <f>VLOOKUP(C26,Groups!$B$7:$D$65,3,0)</f>
        <v>Portugal</v>
      </c>
      <c r="J26" s="103" t="str">
        <f>VLOOKUP(D26,Groups!$B$7:$D$65,3,0)</f>
        <v>DR Kongo</v>
      </c>
      <c r="K26" s="95"/>
      <c r="M26" s="184"/>
      <c r="N26" s="184"/>
      <c r="O26" s="184"/>
      <c r="P26" s="184"/>
      <c r="Q26" s="184"/>
      <c r="R26" s="184"/>
      <c r="S26" s="184"/>
      <c r="T26" s="184"/>
      <c r="U26" s="184"/>
      <c r="V26" s="184"/>
      <c r="W26" s="184"/>
      <c r="X26" s="184"/>
    </row>
    <row r="27" spans="2:24" x14ac:dyDescent="0.25">
      <c r="B27" s="180">
        <v>24</v>
      </c>
      <c r="C27" s="178" t="s">
        <v>823</v>
      </c>
      <c r="D27" s="179" t="s">
        <v>1028</v>
      </c>
      <c r="E27" s="160">
        <v>46190.916666666664</v>
      </c>
      <c r="F27" s="66">
        <f>$E27-VLOOKUP($G27,Zeitzone!$L$4:$O$19,4,0)+VLOOKUP(Zeitzone!$H$1,Zeitzone!$C$4:$E$40,3,0)</f>
        <v>46191.166666666664</v>
      </c>
      <c r="G27" s="171">
        <v>14</v>
      </c>
      <c r="H27" s="170" t="str">
        <f>VLOOKUP($G27,Sprache!$D$103:$E$118,2,0)</f>
        <v>Mexico City</v>
      </c>
      <c r="I27" s="103" t="str">
        <f>VLOOKUP(C27,Groups!$B$7:$D$65,3,0)</f>
        <v>Usbekistan</v>
      </c>
      <c r="J27" s="103" t="str">
        <f>VLOOKUP(D27,Groups!$B$7:$D$65,3,0)</f>
        <v>Kolumbien</v>
      </c>
      <c r="K27" s="95"/>
      <c r="M27" s="184"/>
      <c r="N27" s="184"/>
      <c r="O27" s="184"/>
      <c r="P27" s="184"/>
      <c r="Q27" s="184"/>
      <c r="R27" s="184"/>
      <c r="S27" s="184"/>
      <c r="T27" s="184"/>
      <c r="U27" s="184"/>
      <c r="V27" s="184"/>
      <c r="W27" s="184"/>
      <c r="X27" s="184"/>
    </row>
    <row r="28" spans="2:24" x14ac:dyDescent="0.25">
      <c r="B28" s="180">
        <v>25</v>
      </c>
      <c r="C28" s="178" t="s">
        <v>1018</v>
      </c>
      <c r="D28" s="179" t="s">
        <v>171</v>
      </c>
      <c r="E28" s="160">
        <v>46191.5</v>
      </c>
      <c r="F28" s="66">
        <f>$E28-VLOOKUP($G28,Zeitzone!$L$4:$O$19,4,0)+VLOOKUP(Zeitzone!$H$1,Zeitzone!$C$4:$E$40,3,0)</f>
        <v>46191.75</v>
      </c>
      <c r="G28" s="173">
        <v>7</v>
      </c>
      <c r="H28" s="170" t="str">
        <f>VLOOKUP($G28,Sprache!$D$103:$E$118,2,0)</f>
        <v>Atlanta</v>
      </c>
      <c r="I28" s="103" t="str">
        <f>VLOOKUP(C28,Groups!$B$7:$D$65,3,0)</f>
        <v>Tschechien</v>
      </c>
      <c r="J28" s="103" t="str">
        <f>VLOOKUP(D28,Groups!$B$7:$D$65,3,0)</f>
        <v>Südafrika</v>
      </c>
      <c r="K28" s="95"/>
      <c r="M28" s="184"/>
      <c r="N28" s="184"/>
      <c r="O28" s="184"/>
      <c r="P28" s="184"/>
      <c r="Q28" s="184"/>
      <c r="R28" s="184"/>
      <c r="S28" s="184"/>
      <c r="T28" s="184"/>
      <c r="U28" s="184"/>
      <c r="V28" s="184"/>
      <c r="W28" s="184"/>
      <c r="X28" s="184"/>
    </row>
    <row r="29" spans="2:24" x14ac:dyDescent="0.25">
      <c r="B29" s="180">
        <v>26</v>
      </c>
      <c r="C29" s="178" t="s">
        <v>1019</v>
      </c>
      <c r="D29" s="179" t="s">
        <v>174</v>
      </c>
      <c r="E29" s="160">
        <v>46191.625</v>
      </c>
      <c r="F29" s="66">
        <f>$E29-VLOOKUP($G29,Zeitzone!$L$4:$O$19,4,0)+VLOOKUP(Zeitzone!$H$1,Zeitzone!$C$4:$E$40,3,0)</f>
        <v>46191.875</v>
      </c>
      <c r="G29" s="173">
        <v>8</v>
      </c>
      <c r="H29" s="170" t="str">
        <f>VLOOKUP($G29,Sprache!$D$103:$E$118,2,0)</f>
        <v>Los Angeles</v>
      </c>
      <c r="I29" s="103" t="str">
        <f>VLOOKUP(C29,Groups!$B$7:$D$65,3,0)</f>
        <v>Schweiz</v>
      </c>
      <c r="J29" s="103" t="str">
        <f>VLOOKUP(D29,Groups!$B$7:$D$65,3,0)</f>
        <v>Bosnien/Herzeg.</v>
      </c>
      <c r="K29" s="95"/>
      <c r="M29" s="184"/>
      <c r="N29" s="184"/>
      <c r="O29" s="184"/>
      <c r="P29" s="184"/>
      <c r="Q29" s="184"/>
      <c r="R29" s="184"/>
      <c r="S29" s="184"/>
      <c r="T29" s="184"/>
      <c r="U29" s="184"/>
      <c r="V29" s="184"/>
      <c r="W29" s="184"/>
      <c r="X29" s="184"/>
    </row>
    <row r="30" spans="2:24" x14ac:dyDescent="0.25">
      <c r="B30" s="180">
        <v>27</v>
      </c>
      <c r="C30" s="178" t="s">
        <v>173</v>
      </c>
      <c r="D30" s="179" t="s">
        <v>175</v>
      </c>
      <c r="E30" s="160">
        <v>46191.75</v>
      </c>
      <c r="F30" s="66">
        <f>$E30-VLOOKUP($G30,Zeitzone!$L$4:$O$19,4,0)+VLOOKUP(Zeitzone!$H$1,Zeitzone!$C$4:$E$40,3,0)</f>
        <v>46192</v>
      </c>
      <c r="G30" s="173">
        <v>1</v>
      </c>
      <c r="H30" s="170" t="str">
        <f>VLOOKUP($G30,Sprache!$D$103:$E$118,2,0)</f>
        <v>Vancouver</v>
      </c>
      <c r="I30" s="103" t="str">
        <f>VLOOKUP(C30,Groups!$B$7:$D$65,3,0)</f>
        <v>Kanada</v>
      </c>
      <c r="J30" s="103" t="str">
        <f>VLOOKUP(D30,Groups!$B$7:$D$65,3,0)</f>
        <v>Katar</v>
      </c>
      <c r="K30" s="95"/>
      <c r="M30" s="184"/>
      <c r="N30" s="184"/>
      <c r="O30" s="184"/>
      <c r="P30" s="184"/>
      <c r="Q30" s="184"/>
      <c r="R30" s="184"/>
      <c r="S30" s="184"/>
      <c r="T30" s="184"/>
      <c r="U30" s="184"/>
      <c r="V30" s="184"/>
      <c r="W30" s="184"/>
      <c r="X30" s="184"/>
    </row>
    <row r="31" spans="2:24" x14ac:dyDescent="0.25">
      <c r="B31" s="180">
        <v>28</v>
      </c>
      <c r="C31" s="178" t="s">
        <v>170</v>
      </c>
      <c r="D31" s="179" t="s">
        <v>172</v>
      </c>
      <c r="E31" s="160">
        <v>46191.875</v>
      </c>
      <c r="F31" s="66">
        <f>$E31-VLOOKUP($G31,Zeitzone!$L$4:$O$19,4,0)+VLOOKUP(Zeitzone!$H$1,Zeitzone!$C$4:$E$40,3,0)</f>
        <v>46192.125</v>
      </c>
      <c r="G31" s="173">
        <v>15</v>
      </c>
      <c r="H31" s="170" t="str">
        <f>VLOOKUP($G31,Sprache!$D$103:$E$118,2,0)</f>
        <v>Guadalajara</v>
      </c>
      <c r="I31" s="103" t="str">
        <f>VLOOKUP(C31,Groups!$B$7:$D$65,3,0)</f>
        <v>Mexiko</v>
      </c>
      <c r="J31" s="103" t="str">
        <f>VLOOKUP(D31,Groups!$B$7:$D$65,3,0)</f>
        <v>Südkorea</v>
      </c>
      <c r="K31" s="95"/>
      <c r="M31" s="184"/>
      <c r="N31" s="184"/>
      <c r="O31" s="184"/>
      <c r="P31" s="184"/>
      <c r="Q31" s="184"/>
      <c r="R31" s="184"/>
      <c r="S31" s="184"/>
      <c r="T31" s="184"/>
      <c r="U31" s="184"/>
      <c r="V31" s="184"/>
      <c r="W31" s="184"/>
      <c r="X31" s="184"/>
    </row>
    <row r="32" spans="2:24" x14ac:dyDescent="0.25">
      <c r="B32" s="180">
        <v>29</v>
      </c>
      <c r="C32" s="178" t="s">
        <v>176</v>
      </c>
      <c r="D32" s="179" t="s">
        <v>178</v>
      </c>
      <c r="E32" s="160">
        <v>46192.854166666664</v>
      </c>
      <c r="F32" s="66">
        <f>$E32-VLOOKUP($G32,Zeitzone!$L$4:$O$19,4,0)+VLOOKUP(Zeitzone!$H$1,Zeitzone!$C$4:$E$40,3,0)</f>
        <v>46193.104166666664</v>
      </c>
      <c r="G32" s="173">
        <v>9</v>
      </c>
      <c r="H32" s="170" t="str">
        <f>VLOOKUP($G32,Sprache!$D$103:$E$118,2,0)</f>
        <v>Philadelphia</v>
      </c>
      <c r="I32" s="103" t="str">
        <f>VLOOKUP(C32,Groups!$B$7:$D$65,3,0)</f>
        <v>Brasilien</v>
      </c>
      <c r="J32" s="103" t="str">
        <f>VLOOKUP(D32,Groups!$B$7:$D$65,3,0)</f>
        <v>Haiti</v>
      </c>
      <c r="K32" s="95"/>
      <c r="M32" s="184"/>
      <c r="N32" s="184"/>
      <c r="O32" s="184"/>
      <c r="P32" s="184"/>
      <c r="Q32" s="184"/>
      <c r="R32" s="184"/>
      <c r="S32" s="184"/>
      <c r="T32" s="184"/>
      <c r="U32" s="184"/>
      <c r="V32" s="184"/>
      <c r="W32" s="184"/>
      <c r="X32" s="184"/>
    </row>
    <row r="33" spans="2:24" x14ac:dyDescent="0.25">
      <c r="B33" s="180">
        <v>30</v>
      </c>
      <c r="C33" s="178" t="s">
        <v>1020</v>
      </c>
      <c r="D33" s="179" t="s">
        <v>177</v>
      </c>
      <c r="E33" s="160">
        <v>46192.75</v>
      </c>
      <c r="F33" s="66">
        <f>$E33-VLOOKUP($G33,Zeitzone!$L$4:$O$19,4,0)+VLOOKUP(Zeitzone!$H$1,Zeitzone!$C$4:$E$40,3,0)</f>
        <v>46193</v>
      </c>
      <c r="G33" s="173">
        <v>12</v>
      </c>
      <c r="H33" s="170" t="str">
        <f>VLOOKUP($G33,Sprache!$D$103:$E$118,2,0)</f>
        <v>Boston</v>
      </c>
      <c r="I33" s="103" t="str">
        <f>VLOOKUP(C33,Groups!$B$7:$D$65,3,0)</f>
        <v>Schottland</v>
      </c>
      <c r="J33" s="103" t="str">
        <f>VLOOKUP(D33,Groups!$B$7:$D$65,3,0)</f>
        <v>Marokko</v>
      </c>
      <c r="K33" s="95"/>
      <c r="M33" s="184"/>
      <c r="N33" s="184"/>
      <c r="O33" s="184"/>
      <c r="P33" s="184"/>
      <c r="Q33" s="184"/>
      <c r="R33" s="184"/>
      <c r="S33" s="184"/>
      <c r="T33" s="184"/>
      <c r="U33" s="184"/>
      <c r="V33" s="184"/>
      <c r="W33" s="184"/>
      <c r="X33" s="184"/>
    </row>
    <row r="34" spans="2:24" x14ac:dyDescent="0.25">
      <c r="B34" s="180">
        <v>31</v>
      </c>
      <c r="C34" s="178" t="s">
        <v>1021</v>
      </c>
      <c r="D34" s="179" t="s">
        <v>180</v>
      </c>
      <c r="E34" s="160">
        <v>46192.958333333336</v>
      </c>
      <c r="F34" s="66">
        <f>$E34-VLOOKUP($G34,Zeitzone!$L$4:$O$19,4,0)+VLOOKUP(Zeitzone!$H$1,Zeitzone!$C$4:$E$40,3,0)</f>
        <v>46193.208333333336</v>
      </c>
      <c r="G34" s="173">
        <v>11</v>
      </c>
      <c r="H34" s="170" t="str">
        <f>VLOOKUP($G34,Sprache!$D$103:$E$118,2,0)</f>
        <v>San Francisco Bay Area</v>
      </c>
      <c r="I34" s="103" t="str">
        <f>VLOOKUP(C34,Groups!$B$7:$D$65,3,0)</f>
        <v>Türkei</v>
      </c>
      <c r="J34" s="103" t="str">
        <f>VLOOKUP(D34,Groups!$B$7:$D$65,3,0)</f>
        <v>Paraguay</v>
      </c>
      <c r="K34" s="95"/>
      <c r="M34" s="184"/>
      <c r="N34" s="184"/>
      <c r="O34" s="184"/>
      <c r="P34" s="184"/>
      <c r="Q34" s="184"/>
      <c r="R34" s="184"/>
      <c r="S34" s="184"/>
      <c r="T34" s="184"/>
      <c r="U34" s="184"/>
      <c r="V34" s="184"/>
      <c r="W34" s="184"/>
      <c r="X34" s="184"/>
    </row>
    <row r="35" spans="2:24" x14ac:dyDescent="0.25">
      <c r="B35" s="180">
        <v>32</v>
      </c>
      <c r="C35" s="178" t="s">
        <v>179</v>
      </c>
      <c r="D35" s="179" t="s">
        <v>181</v>
      </c>
      <c r="E35" s="160">
        <v>46192.625</v>
      </c>
      <c r="F35" s="66">
        <f>$E35-VLOOKUP($G35,Zeitzone!$L$4:$O$19,4,0)+VLOOKUP(Zeitzone!$H$1,Zeitzone!$C$4:$E$40,3,0)</f>
        <v>46192.875</v>
      </c>
      <c r="G35" s="173">
        <v>10</v>
      </c>
      <c r="H35" s="170" t="str">
        <f>VLOOKUP($G35,Sprache!$D$103:$E$118,2,0)</f>
        <v>Seattle</v>
      </c>
      <c r="I35" s="103" t="str">
        <f>VLOOKUP(C35,Groups!$B$7:$D$65,3,0)</f>
        <v>USA</v>
      </c>
      <c r="J35" s="103" t="str">
        <f>VLOOKUP(D35,Groups!$B$7:$D$65,3,0)</f>
        <v>Australien</v>
      </c>
      <c r="K35" s="95"/>
      <c r="M35" s="184"/>
      <c r="N35" s="184"/>
      <c r="O35" s="184"/>
      <c r="P35" s="184"/>
      <c r="Q35" s="184"/>
      <c r="R35" s="184"/>
      <c r="S35" s="184"/>
      <c r="T35" s="184"/>
      <c r="U35" s="184"/>
      <c r="V35" s="184"/>
      <c r="W35" s="184"/>
      <c r="X35" s="184"/>
    </row>
    <row r="36" spans="2:24" x14ac:dyDescent="0.25">
      <c r="B36" s="180">
        <v>33</v>
      </c>
      <c r="C36" s="178" t="s">
        <v>182</v>
      </c>
      <c r="D36" s="179" t="s">
        <v>184</v>
      </c>
      <c r="E36" s="160">
        <v>46193.666666666664</v>
      </c>
      <c r="F36" s="66">
        <f>$E36-VLOOKUP($G36,Zeitzone!$L$4:$O$19,4,0)+VLOOKUP(Zeitzone!$H$1,Zeitzone!$C$4:$E$40,3,0)</f>
        <v>46193.916666666664</v>
      </c>
      <c r="G36" s="173">
        <v>2</v>
      </c>
      <c r="H36" s="170" t="str">
        <f>VLOOKUP($G36,Sprache!$D$103:$E$118,2,0)</f>
        <v>Toronto</v>
      </c>
      <c r="I36" s="103" t="str">
        <f>VLOOKUP(C36,Groups!$B$7:$D$65,3,0)</f>
        <v>Deutschland</v>
      </c>
      <c r="J36" s="103" t="str">
        <f>VLOOKUP(D36,Groups!$B$7:$D$65,3,0)</f>
        <v>Elfenbeinküste</v>
      </c>
      <c r="K36" s="95"/>
    </row>
    <row r="37" spans="2:24" x14ac:dyDescent="0.25">
      <c r="B37" s="180">
        <v>34</v>
      </c>
      <c r="C37" s="178" t="s">
        <v>1022</v>
      </c>
      <c r="D37" s="179" t="s">
        <v>183</v>
      </c>
      <c r="E37" s="160">
        <v>46193.833333333336</v>
      </c>
      <c r="F37" s="66">
        <f>$E37-VLOOKUP($G37,Zeitzone!$L$4:$O$19,4,0)+VLOOKUP(Zeitzone!$H$1,Zeitzone!$C$4:$E$40,3,0)</f>
        <v>46194.083333333336</v>
      </c>
      <c r="G37" s="173">
        <v>4</v>
      </c>
      <c r="H37" s="170" t="str">
        <f>VLOOKUP($G37,Sprache!$D$103:$E$118,2,0)</f>
        <v>Kansas City</v>
      </c>
      <c r="I37" s="103" t="str">
        <f>VLOOKUP(C37,Groups!$B$7:$D$65,3,0)</f>
        <v>Ecuador</v>
      </c>
      <c r="J37" s="103" t="str">
        <f>VLOOKUP(D37,Groups!$B$7:$D$65,3,0)</f>
        <v>Curaçao</v>
      </c>
      <c r="K37" s="95"/>
    </row>
    <row r="38" spans="2:24" x14ac:dyDescent="0.25">
      <c r="B38" s="180">
        <v>35</v>
      </c>
      <c r="C38" s="178" t="s">
        <v>264</v>
      </c>
      <c r="D38" s="179" t="s">
        <v>266</v>
      </c>
      <c r="E38" s="160">
        <v>46193.541666666664</v>
      </c>
      <c r="F38" s="66">
        <f>$E38-VLOOKUP($G38,Zeitzone!$L$4:$O$19,4,0)+VLOOKUP(Zeitzone!$H$1,Zeitzone!$C$4:$E$40,3,0)</f>
        <v>46193.791666666664</v>
      </c>
      <c r="G38" s="173">
        <v>6</v>
      </c>
      <c r="H38" s="170" t="str">
        <f>VLOOKUP($G38,Sprache!$D$103:$E$118,2,0)</f>
        <v>Houston</v>
      </c>
      <c r="I38" s="103" t="str">
        <f>VLOOKUP(C38,Groups!$B$7:$D$65,3,0)</f>
        <v>Niederlande</v>
      </c>
      <c r="J38" s="103" t="str">
        <f>VLOOKUP(D38,Groups!$B$7:$D$65,3,0)</f>
        <v>Schweden</v>
      </c>
      <c r="K38" s="95"/>
    </row>
    <row r="39" spans="2:24" x14ac:dyDescent="0.25">
      <c r="B39" s="180">
        <v>36</v>
      </c>
      <c r="C39" s="178" t="s">
        <v>1023</v>
      </c>
      <c r="D39" s="179" t="s">
        <v>265</v>
      </c>
      <c r="E39" s="160">
        <v>46194</v>
      </c>
      <c r="F39" s="66">
        <f>$E39-VLOOKUP($G39,Zeitzone!$L$4:$O$19,4,0)+VLOOKUP(Zeitzone!$H$1,Zeitzone!$C$4:$E$40,3,0)</f>
        <v>46194.25</v>
      </c>
      <c r="G39" s="173">
        <v>16</v>
      </c>
      <c r="H39" s="170" t="str">
        <f>VLOOKUP($G39,Sprache!$D$103:$E$118,2,0)</f>
        <v>Monterrey</v>
      </c>
      <c r="I39" s="103" t="str">
        <f>VLOOKUP(C39,Groups!$B$7:$D$65,3,0)</f>
        <v>Tunesien</v>
      </c>
      <c r="J39" s="103" t="str">
        <f>VLOOKUP(D39,Groups!$B$7:$D$65,3,0)</f>
        <v>Japan</v>
      </c>
      <c r="K39" s="95"/>
    </row>
    <row r="40" spans="2:24" x14ac:dyDescent="0.25">
      <c r="B40" s="180">
        <v>37</v>
      </c>
      <c r="C40" s="178" t="s">
        <v>1025</v>
      </c>
      <c r="D40" s="179" t="s">
        <v>268</v>
      </c>
      <c r="E40" s="160">
        <v>46194.75</v>
      </c>
      <c r="F40" s="66">
        <f>$E40-VLOOKUP($G40,Zeitzone!$L$4:$O$19,4,0)+VLOOKUP(Zeitzone!$H$1,Zeitzone!$C$4:$E$40,3,0)</f>
        <v>46195</v>
      </c>
      <c r="G40" s="173">
        <v>13</v>
      </c>
      <c r="H40" s="170" t="str">
        <f>VLOOKUP($G40,Sprache!$D$103:$E$118,2,0)</f>
        <v>Miami</v>
      </c>
      <c r="I40" s="103" t="str">
        <f>VLOOKUP(C40,Groups!$B$7:$D$65,3,0)</f>
        <v>Uruguay</v>
      </c>
      <c r="J40" s="103" t="str">
        <f>VLOOKUP(D40,Groups!$B$7:$D$65,3,0)</f>
        <v>Kap Verde</v>
      </c>
      <c r="K40" s="95"/>
    </row>
    <row r="41" spans="2:24" x14ac:dyDescent="0.25">
      <c r="B41" s="180">
        <v>38</v>
      </c>
      <c r="C41" s="178" t="s">
        <v>267</v>
      </c>
      <c r="D41" s="179" t="s">
        <v>269</v>
      </c>
      <c r="E41" s="160">
        <v>46194.5</v>
      </c>
      <c r="F41" s="66">
        <f>$E41-VLOOKUP($G41,Zeitzone!$L$4:$O$19,4,0)+VLOOKUP(Zeitzone!$H$1,Zeitzone!$C$4:$E$40,3,0)</f>
        <v>46194.75</v>
      </c>
      <c r="G41" s="173">
        <v>7</v>
      </c>
      <c r="H41" s="170" t="str">
        <f>VLOOKUP($G41,Sprache!$D$103:$E$118,2,0)</f>
        <v>Atlanta</v>
      </c>
      <c r="I41" s="103" t="str">
        <f>VLOOKUP(C41,Groups!$B$7:$D$65,3,0)</f>
        <v>Spanien</v>
      </c>
      <c r="J41" s="103" t="str">
        <f>VLOOKUP(D41,Groups!$B$7:$D$65,3,0)</f>
        <v>Saudiarabien</v>
      </c>
      <c r="K41" s="95"/>
    </row>
    <row r="42" spans="2:24" x14ac:dyDescent="0.25">
      <c r="B42" s="180">
        <v>39</v>
      </c>
      <c r="C42" s="178" t="s">
        <v>185</v>
      </c>
      <c r="D42" s="179" t="s">
        <v>187</v>
      </c>
      <c r="E42" s="160">
        <v>46194.625</v>
      </c>
      <c r="F42" s="66">
        <f>$E42-VLOOKUP($G42,Zeitzone!$L$4:$O$19,4,0)+VLOOKUP(Zeitzone!$H$1,Zeitzone!$C$4:$E$40,3,0)</f>
        <v>46194.875</v>
      </c>
      <c r="G42" s="173">
        <v>8</v>
      </c>
      <c r="H42" s="170" t="str">
        <f>VLOOKUP($G42,Sprache!$D$103:$E$118,2,0)</f>
        <v>Los Angeles</v>
      </c>
      <c r="I42" s="103" t="str">
        <f>VLOOKUP(C42,Groups!$B$7:$D$65,3,0)</f>
        <v>Belgien</v>
      </c>
      <c r="J42" s="103" t="str">
        <f>VLOOKUP(D42,Groups!$B$7:$D$65,3,0)</f>
        <v>IR Iran</v>
      </c>
      <c r="K42" s="95"/>
    </row>
    <row r="43" spans="2:24" x14ac:dyDescent="0.25">
      <c r="B43" s="180">
        <v>40</v>
      </c>
      <c r="C43" s="178" t="s">
        <v>1024</v>
      </c>
      <c r="D43" s="179" t="s">
        <v>186</v>
      </c>
      <c r="E43" s="160">
        <v>46194.875</v>
      </c>
      <c r="F43" s="66">
        <f>$E43-VLOOKUP($G43,Zeitzone!$L$4:$O$19,4,0)+VLOOKUP(Zeitzone!$H$1,Zeitzone!$C$4:$E$40,3,0)</f>
        <v>46195.125</v>
      </c>
      <c r="G43" s="173">
        <v>1</v>
      </c>
      <c r="H43" s="170" t="str">
        <f>VLOOKUP($G43,Sprache!$D$103:$E$118,2,0)</f>
        <v>Vancouver</v>
      </c>
      <c r="I43" s="103" t="str">
        <f>VLOOKUP(C43,Groups!$B$7:$D$65,3,0)</f>
        <v>Neuseeland</v>
      </c>
      <c r="J43" s="103" t="str">
        <f>VLOOKUP(D43,Groups!$B$7:$D$65,3,0)</f>
        <v>Ägypten</v>
      </c>
      <c r="K43" s="95"/>
    </row>
    <row r="44" spans="2:24" x14ac:dyDescent="0.25">
      <c r="B44" s="180">
        <v>41</v>
      </c>
      <c r="C44" s="178" t="s">
        <v>1026</v>
      </c>
      <c r="D44" s="179" t="s">
        <v>816</v>
      </c>
      <c r="E44" s="160">
        <v>46195.833333333336</v>
      </c>
      <c r="F44" s="66">
        <f>$E44-VLOOKUP($G44,Zeitzone!$L$4:$O$19,4,0)+VLOOKUP(Zeitzone!$H$1,Zeitzone!$C$4:$E$40,3,0)</f>
        <v>46196.083333333336</v>
      </c>
      <c r="G44" s="173">
        <v>3</v>
      </c>
      <c r="H44" s="170" t="str">
        <f>VLOOKUP($G44,Sprache!$D$103:$E$118,2,0)</f>
        <v>New York/New Jersey</v>
      </c>
      <c r="I44" s="103" t="str">
        <f>VLOOKUP(C44,Groups!$B$7:$D$65,3,0)</f>
        <v>Norwegen</v>
      </c>
      <c r="J44" s="103" t="str">
        <f>VLOOKUP(D44,Groups!$B$7:$D$65,3,0)</f>
        <v>Senegal</v>
      </c>
      <c r="K44" s="95"/>
    </row>
    <row r="45" spans="2:24" x14ac:dyDescent="0.25">
      <c r="B45" s="180">
        <v>42</v>
      </c>
      <c r="C45" s="178" t="s">
        <v>815</v>
      </c>
      <c r="D45" s="179" t="s">
        <v>817</v>
      </c>
      <c r="E45" s="160">
        <v>46195.708333333336</v>
      </c>
      <c r="F45" s="66">
        <f>$E45-VLOOKUP($G45,Zeitzone!$L$4:$O$19,4,0)+VLOOKUP(Zeitzone!$H$1,Zeitzone!$C$4:$E$40,3,0)</f>
        <v>46195.958333333336</v>
      </c>
      <c r="G45" s="173">
        <v>9</v>
      </c>
      <c r="H45" s="170" t="str">
        <f>VLOOKUP($G45,Sprache!$D$103:$E$118,2,0)</f>
        <v>Philadelphia</v>
      </c>
      <c r="I45" s="103" t="str">
        <f>VLOOKUP(C45,Groups!$B$7:$D$65,3,0)</f>
        <v>Frankreich</v>
      </c>
      <c r="J45" s="103" t="str">
        <f>VLOOKUP(D45,Groups!$B$7:$D$65,3,0)</f>
        <v>Irak</v>
      </c>
      <c r="K45" s="95"/>
    </row>
    <row r="46" spans="2:24" x14ac:dyDescent="0.25">
      <c r="B46" s="180">
        <v>43</v>
      </c>
      <c r="C46" s="178" t="s">
        <v>818</v>
      </c>
      <c r="D46" s="179" t="s">
        <v>820</v>
      </c>
      <c r="E46" s="160">
        <v>46195.541666666664</v>
      </c>
      <c r="F46" s="66">
        <f>$E46-VLOOKUP($G46,Zeitzone!$L$4:$O$19,4,0)+VLOOKUP(Zeitzone!$H$1,Zeitzone!$C$4:$E$40,3,0)</f>
        <v>46195.791666666664</v>
      </c>
      <c r="G46" s="173">
        <v>5</v>
      </c>
      <c r="H46" s="170" t="str">
        <f>VLOOKUP($G46,Sprache!$D$103:$E$118,2,0)</f>
        <v>Dallas</v>
      </c>
      <c r="I46" s="103" t="str">
        <f>VLOOKUP(C46,Groups!$B$7:$D$65,3,0)</f>
        <v>Argentinien</v>
      </c>
      <c r="J46" s="103" t="str">
        <f>VLOOKUP(D46,Groups!$B$7:$D$65,3,0)</f>
        <v>Österreich</v>
      </c>
      <c r="K46" s="95"/>
    </row>
    <row r="47" spans="2:24" x14ac:dyDescent="0.25">
      <c r="B47" s="180">
        <v>44</v>
      </c>
      <c r="C47" s="178" t="s">
        <v>1027</v>
      </c>
      <c r="D47" s="179" t="s">
        <v>819</v>
      </c>
      <c r="E47" s="160">
        <v>46195.958333333336</v>
      </c>
      <c r="F47" s="66">
        <f>$E47-VLOOKUP($G47,Zeitzone!$L$4:$O$19,4,0)+VLOOKUP(Zeitzone!$H$1,Zeitzone!$C$4:$E$40,3,0)</f>
        <v>46196.208333333336</v>
      </c>
      <c r="G47" s="173">
        <v>11</v>
      </c>
      <c r="H47" s="170" t="str">
        <f>VLOOKUP($G47,Sprache!$D$103:$E$118,2,0)</f>
        <v>San Francisco Bay Area</v>
      </c>
      <c r="I47" s="103" t="str">
        <f>VLOOKUP(C47,Groups!$B$7:$D$65,3,0)</f>
        <v>Jordanien</v>
      </c>
      <c r="J47" s="103" t="str">
        <f>VLOOKUP(D47,Groups!$B$7:$D$65,3,0)</f>
        <v>Algerien</v>
      </c>
      <c r="K47" s="95"/>
    </row>
    <row r="48" spans="2:24" x14ac:dyDescent="0.25">
      <c r="B48" s="180">
        <v>45</v>
      </c>
      <c r="C48" s="178" t="s">
        <v>824</v>
      </c>
      <c r="D48" s="179" t="s">
        <v>826</v>
      </c>
      <c r="E48" s="160">
        <v>46196.666666666664</v>
      </c>
      <c r="F48" s="66">
        <f>$E48-VLOOKUP($G48,Zeitzone!$L$4:$O$19,4,0)+VLOOKUP(Zeitzone!$H$1,Zeitzone!$C$4:$E$40,3,0)</f>
        <v>46196.916666666664</v>
      </c>
      <c r="G48" s="173">
        <v>12</v>
      </c>
      <c r="H48" s="170" t="str">
        <f>VLOOKUP($G48,Sprache!$D$103:$E$118,2,0)</f>
        <v>Boston</v>
      </c>
      <c r="I48" s="103" t="str">
        <f>VLOOKUP(C48,Groups!$B$7:$D$65,3,0)</f>
        <v>England</v>
      </c>
      <c r="J48" s="103" t="str">
        <f>VLOOKUP(D48,Groups!$B$7:$D$65,3,0)</f>
        <v>Ghana</v>
      </c>
      <c r="K48" s="95"/>
    </row>
    <row r="49" spans="2:24" x14ac:dyDescent="0.25">
      <c r="B49" s="180">
        <v>46</v>
      </c>
      <c r="C49" s="178" t="s">
        <v>1029</v>
      </c>
      <c r="D49" s="179" t="s">
        <v>825</v>
      </c>
      <c r="E49" s="160">
        <v>46196.791666666664</v>
      </c>
      <c r="F49" s="66">
        <f>$E49-VLOOKUP($G49,Zeitzone!$L$4:$O$19,4,0)+VLOOKUP(Zeitzone!$H$1,Zeitzone!$C$4:$E$40,3,0)</f>
        <v>46197.041666666664</v>
      </c>
      <c r="G49" s="173">
        <v>2</v>
      </c>
      <c r="H49" s="170" t="str">
        <f>VLOOKUP($G49,Sprache!$D$103:$E$118,2,0)</f>
        <v>Toronto</v>
      </c>
      <c r="I49" s="103" t="str">
        <f>VLOOKUP(C49,Groups!$B$7:$D$65,3,0)</f>
        <v>Panama</v>
      </c>
      <c r="J49" s="103" t="str">
        <f>VLOOKUP(D49,Groups!$B$7:$D$65,3,0)</f>
        <v>Kroatien</v>
      </c>
      <c r="K49" s="95"/>
    </row>
    <row r="50" spans="2:24" x14ac:dyDescent="0.25">
      <c r="B50" s="180">
        <v>47</v>
      </c>
      <c r="C50" s="178" t="s">
        <v>821</v>
      </c>
      <c r="D50" s="179" t="s">
        <v>823</v>
      </c>
      <c r="E50" s="160">
        <v>46196.541666666664</v>
      </c>
      <c r="F50" s="66">
        <f>$E50-VLOOKUP($G50,Zeitzone!$L$4:$O$19,4,0)+VLOOKUP(Zeitzone!$H$1,Zeitzone!$C$4:$E$40,3,0)</f>
        <v>46196.791666666664</v>
      </c>
      <c r="G50" s="173">
        <v>6</v>
      </c>
      <c r="H50" s="170" t="str">
        <f>VLOOKUP($G50,Sprache!$D$103:$E$118,2,0)</f>
        <v>Houston</v>
      </c>
      <c r="I50" s="103" t="str">
        <f>VLOOKUP(C50,Groups!$B$7:$D$65,3,0)</f>
        <v>Portugal</v>
      </c>
      <c r="J50" s="103" t="str">
        <f>VLOOKUP(D50,Groups!$B$7:$D$65,3,0)</f>
        <v>Usbekistan</v>
      </c>
      <c r="K50" s="95"/>
    </row>
    <row r="51" spans="2:24" x14ac:dyDescent="0.25">
      <c r="B51" s="180">
        <v>48</v>
      </c>
      <c r="C51" s="178" t="s">
        <v>1028</v>
      </c>
      <c r="D51" s="179" t="s">
        <v>822</v>
      </c>
      <c r="E51" s="160">
        <v>46196.916666666664</v>
      </c>
      <c r="F51" s="66">
        <f>$E51-VLOOKUP($G51,Zeitzone!$L$4:$O$19,4,0)+VLOOKUP(Zeitzone!$H$1,Zeitzone!$C$4:$E$40,3,0)</f>
        <v>46197.166666666664</v>
      </c>
      <c r="G51" s="173">
        <v>15</v>
      </c>
      <c r="H51" s="170" t="str">
        <f>VLOOKUP($G51,Sprache!$D$103:$E$118,2,0)</f>
        <v>Guadalajara</v>
      </c>
      <c r="I51" s="103" t="str">
        <f>VLOOKUP(C51,Groups!$B$7:$D$65,3,0)</f>
        <v>Kolumbien</v>
      </c>
      <c r="J51" s="103" t="str">
        <f>VLOOKUP(D51,Groups!$B$7:$D$65,3,0)</f>
        <v>DR Kongo</v>
      </c>
      <c r="K51" s="95"/>
      <c r="M51" s="244"/>
      <c r="N51" s="244"/>
      <c r="O51" s="244"/>
      <c r="P51" s="244"/>
      <c r="Q51" s="244"/>
      <c r="R51" s="244"/>
      <c r="S51" s="244"/>
      <c r="T51" s="244"/>
      <c r="U51" s="244"/>
      <c r="V51" s="244"/>
      <c r="W51" s="244"/>
      <c r="X51" s="244"/>
    </row>
    <row r="52" spans="2:24" x14ac:dyDescent="0.25">
      <c r="B52" s="180">
        <v>49</v>
      </c>
      <c r="C52" s="178" t="s">
        <v>1020</v>
      </c>
      <c r="D52" s="179" t="s">
        <v>176</v>
      </c>
      <c r="E52" s="160">
        <v>46197.75</v>
      </c>
      <c r="F52" s="66">
        <f>$E52-VLOOKUP($G52,Zeitzone!$L$4:$O$19,4,0)+VLOOKUP(Zeitzone!$H$1,Zeitzone!$C$4:$E$40,3,0)</f>
        <v>46198</v>
      </c>
      <c r="G52" s="173">
        <v>13</v>
      </c>
      <c r="H52" s="170" t="str">
        <f>VLOOKUP($G52,Sprache!$D$103:$E$118,2,0)</f>
        <v>Miami</v>
      </c>
      <c r="I52" s="103" t="str">
        <f>VLOOKUP(C52,Groups!$B$7:$D$65,3,0)</f>
        <v>Schottland</v>
      </c>
      <c r="J52" s="103" t="str">
        <f>VLOOKUP(D52,Groups!$B$7:$D$65,3,0)</f>
        <v>Brasilien</v>
      </c>
      <c r="K52" s="95"/>
      <c r="M52" s="244"/>
      <c r="N52" s="244"/>
      <c r="O52" s="244"/>
      <c r="P52" s="244"/>
      <c r="Q52" s="244"/>
      <c r="R52" s="244"/>
      <c r="S52" s="244"/>
      <c r="T52" s="244"/>
      <c r="U52" s="244"/>
      <c r="V52" s="244"/>
      <c r="W52" s="244"/>
      <c r="X52" s="244"/>
    </row>
    <row r="53" spans="2:24" x14ac:dyDescent="0.25">
      <c r="B53" s="180">
        <v>50</v>
      </c>
      <c r="C53" s="178" t="s">
        <v>177</v>
      </c>
      <c r="D53" s="179" t="s">
        <v>178</v>
      </c>
      <c r="E53" s="160">
        <v>46197.75</v>
      </c>
      <c r="F53" s="66">
        <f>$E53-VLOOKUP($G53,Zeitzone!$L$4:$O$19,4,0)+VLOOKUP(Zeitzone!$H$1,Zeitzone!$C$4:$E$40,3,0)</f>
        <v>46198</v>
      </c>
      <c r="G53" s="173">
        <v>7</v>
      </c>
      <c r="H53" s="170" t="str">
        <f>VLOOKUP($G53,Sprache!$D$103:$E$118,2,0)</f>
        <v>Atlanta</v>
      </c>
      <c r="I53" s="103" t="str">
        <f>VLOOKUP(C53,Groups!$B$7:$D$65,3,0)</f>
        <v>Marokko</v>
      </c>
      <c r="J53" s="103" t="str">
        <f>VLOOKUP(D53,Groups!$B$7:$D$65,3,0)</f>
        <v>Haiti</v>
      </c>
      <c r="K53" s="95"/>
      <c r="M53" s="244"/>
      <c r="N53" s="244"/>
      <c r="O53" s="244"/>
      <c r="P53" s="244"/>
      <c r="Q53" s="244"/>
      <c r="R53" s="244"/>
      <c r="S53" s="244"/>
      <c r="T53" s="244"/>
      <c r="U53" s="244"/>
      <c r="V53" s="244"/>
      <c r="W53" s="244"/>
      <c r="X53" s="244"/>
    </row>
    <row r="54" spans="2:24" x14ac:dyDescent="0.25">
      <c r="B54" s="180">
        <v>51</v>
      </c>
      <c r="C54" s="178" t="s">
        <v>1019</v>
      </c>
      <c r="D54" s="179" t="s">
        <v>173</v>
      </c>
      <c r="E54" s="160">
        <v>46197.625</v>
      </c>
      <c r="F54" s="66">
        <f>$E54-VLOOKUP($G54,Zeitzone!$L$4:$O$19,4,0)+VLOOKUP(Zeitzone!$H$1,Zeitzone!$C$4:$E$40,3,0)</f>
        <v>46197.875</v>
      </c>
      <c r="G54" s="173">
        <v>1</v>
      </c>
      <c r="H54" s="170" t="str">
        <f>VLOOKUP($G54,Sprache!$D$103:$E$118,2,0)</f>
        <v>Vancouver</v>
      </c>
      <c r="I54" s="103" t="str">
        <f>VLOOKUP(C54,Groups!$B$7:$D$65,3,0)</f>
        <v>Schweiz</v>
      </c>
      <c r="J54" s="103" t="str">
        <f>VLOOKUP(D54,Groups!$B$7:$D$65,3,0)</f>
        <v>Kanada</v>
      </c>
      <c r="K54" s="95"/>
      <c r="M54" s="244"/>
      <c r="N54" s="244"/>
      <c r="O54" s="244"/>
      <c r="P54" s="244"/>
      <c r="Q54" s="244"/>
      <c r="R54" s="244"/>
      <c r="S54" s="244"/>
      <c r="T54" s="244"/>
      <c r="U54" s="244"/>
      <c r="V54" s="244"/>
      <c r="W54" s="244"/>
      <c r="X54" s="244"/>
    </row>
    <row r="55" spans="2:24" x14ac:dyDescent="0.25">
      <c r="B55" s="180">
        <v>52</v>
      </c>
      <c r="C55" s="178" t="s">
        <v>174</v>
      </c>
      <c r="D55" s="179" t="s">
        <v>175</v>
      </c>
      <c r="E55" s="160">
        <v>46197.625</v>
      </c>
      <c r="F55" s="66">
        <f>$E55-VLOOKUP($G55,Zeitzone!$L$4:$O$19,4,0)+VLOOKUP(Zeitzone!$H$1,Zeitzone!$C$4:$E$40,3,0)</f>
        <v>46197.875</v>
      </c>
      <c r="G55" s="173">
        <v>10</v>
      </c>
      <c r="H55" s="170" t="str">
        <f>VLOOKUP($G55,Sprache!$D$103:$E$118,2,0)</f>
        <v>Seattle</v>
      </c>
      <c r="I55" s="103" t="str">
        <f>VLOOKUP(C55,Groups!$B$7:$D$65,3,0)</f>
        <v>Bosnien/Herzeg.</v>
      </c>
      <c r="J55" s="103" t="str">
        <f>VLOOKUP(D55,Groups!$B$7:$D$65,3,0)</f>
        <v>Katar</v>
      </c>
      <c r="K55" s="95"/>
      <c r="M55" s="244"/>
      <c r="N55" s="244"/>
      <c r="O55" s="244"/>
      <c r="P55" s="244"/>
      <c r="Q55" s="244"/>
      <c r="R55" s="244"/>
      <c r="S55" s="244"/>
      <c r="T55" s="244"/>
      <c r="U55" s="244"/>
      <c r="V55" s="244"/>
      <c r="W55" s="244"/>
      <c r="X55" s="244"/>
    </row>
    <row r="56" spans="2:24" x14ac:dyDescent="0.25">
      <c r="B56" s="180">
        <v>53</v>
      </c>
      <c r="C56" s="178" t="s">
        <v>1018</v>
      </c>
      <c r="D56" s="179" t="s">
        <v>170</v>
      </c>
      <c r="E56" s="160">
        <v>46197.875</v>
      </c>
      <c r="F56" s="66">
        <f>$E56-VLOOKUP($G56,Zeitzone!$L$4:$O$19,4,0)+VLOOKUP(Zeitzone!$H$1,Zeitzone!$C$4:$E$40,3,0)</f>
        <v>46198.125</v>
      </c>
      <c r="G56" s="171">
        <v>14</v>
      </c>
      <c r="H56" s="170" t="str">
        <f>VLOOKUP($G56,Sprache!$D$103:$E$118,2,0)</f>
        <v>Mexico City</v>
      </c>
      <c r="I56" s="103" t="str">
        <f>VLOOKUP(C56,Groups!$B$7:$D$65,3,0)</f>
        <v>Tschechien</v>
      </c>
      <c r="J56" s="103" t="str">
        <f>VLOOKUP(D56,Groups!$B$7:$D$65,3,0)</f>
        <v>Mexiko</v>
      </c>
      <c r="K56" s="95"/>
      <c r="M56" s="244"/>
      <c r="N56" s="244"/>
      <c r="O56" s="244"/>
      <c r="P56" s="244"/>
      <c r="Q56" s="244"/>
      <c r="R56" s="244"/>
      <c r="S56" s="244"/>
      <c r="T56" s="244"/>
      <c r="U56" s="244"/>
      <c r="V56" s="244"/>
      <c r="W56" s="244"/>
      <c r="X56" s="244"/>
    </row>
    <row r="57" spans="2:24" x14ac:dyDescent="0.25">
      <c r="B57" s="180">
        <v>54</v>
      </c>
      <c r="C57" s="178" t="s">
        <v>171</v>
      </c>
      <c r="D57" s="179" t="s">
        <v>172</v>
      </c>
      <c r="E57" s="160">
        <v>46197.875</v>
      </c>
      <c r="F57" s="66">
        <f>$E57-VLOOKUP($G57,Zeitzone!$L$4:$O$19,4,0)+VLOOKUP(Zeitzone!$H$1,Zeitzone!$C$4:$E$40,3,0)</f>
        <v>46198.125</v>
      </c>
      <c r="G57" s="173">
        <v>16</v>
      </c>
      <c r="H57" s="170" t="str">
        <f>VLOOKUP($G57,Sprache!$D$103:$E$118,2,0)</f>
        <v>Monterrey</v>
      </c>
      <c r="I57" s="103" t="str">
        <f>VLOOKUP(C57,Groups!$B$7:$D$65,3,0)</f>
        <v>Südafrika</v>
      </c>
      <c r="J57" s="103" t="str">
        <f>VLOOKUP(D57,Groups!$B$7:$D$65,3,0)</f>
        <v>Südkorea</v>
      </c>
      <c r="K57" s="95"/>
      <c r="M57" s="244"/>
      <c r="N57" s="244"/>
      <c r="O57" s="244"/>
      <c r="P57" s="244"/>
      <c r="Q57" s="244"/>
      <c r="R57" s="244"/>
      <c r="S57" s="244"/>
      <c r="T57" s="244"/>
      <c r="U57" s="244"/>
      <c r="V57" s="244"/>
      <c r="W57" s="244"/>
      <c r="X57" s="244"/>
    </row>
    <row r="58" spans="2:24" x14ac:dyDescent="0.25">
      <c r="B58" s="180">
        <v>55</v>
      </c>
      <c r="C58" s="178" t="s">
        <v>183</v>
      </c>
      <c r="D58" s="179" t="s">
        <v>184</v>
      </c>
      <c r="E58" s="160">
        <v>46198.666666666664</v>
      </c>
      <c r="F58" s="66">
        <f>$E58-VLOOKUP($G58,Zeitzone!$L$4:$O$19,4,0)+VLOOKUP(Zeitzone!$H$1,Zeitzone!$C$4:$E$40,3,0)</f>
        <v>46198.916666666664</v>
      </c>
      <c r="G58" s="173">
        <v>9</v>
      </c>
      <c r="H58" s="170" t="str">
        <f>VLOOKUP($G58,Sprache!$D$103:$E$118,2,0)</f>
        <v>Philadelphia</v>
      </c>
      <c r="I58" s="103" t="str">
        <f>VLOOKUP(C58,Groups!$B$7:$D$65,3,0)</f>
        <v>Curaçao</v>
      </c>
      <c r="J58" s="103" t="str">
        <f>VLOOKUP(D58,Groups!$B$7:$D$65,3,0)</f>
        <v>Elfenbeinküste</v>
      </c>
      <c r="K58" s="95"/>
      <c r="M58" s="244"/>
      <c r="N58" s="244"/>
      <c r="O58" s="244"/>
      <c r="P58" s="244"/>
      <c r="Q58" s="244"/>
      <c r="R58" s="244"/>
      <c r="S58" s="244"/>
      <c r="T58" s="244"/>
      <c r="U58" s="244"/>
      <c r="V58" s="244"/>
      <c r="W58" s="244"/>
      <c r="X58" s="244"/>
    </row>
    <row r="59" spans="2:24" x14ac:dyDescent="0.25">
      <c r="B59" s="180">
        <v>56</v>
      </c>
      <c r="C59" s="178" t="s">
        <v>1022</v>
      </c>
      <c r="D59" s="179" t="s">
        <v>182</v>
      </c>
      <c r="E59" s="160">
        <v>46198.666666666664</v>
      </c>
      <c r="F59" s="66">
        <f>$E59-VLOOKUP($G59,Zeitzone!$L$4:$O$19,4,0)+VLOOKUP(Zeitzone!$H$1,Zeitzone!$C$4:$E$40,3,0)</f>
        <v>46198.916666666664</v>
      </c>
      <c r="G59" s="173">
        <v>3</v>
      </c>
      <c r="H59" s="170" t="str">
        <f>VLOOKUP($G59,Sprache!$D$103:$E$118,2,0)</f>
        <v>New York/New Jersey</v>
      </c>
      <c r="I59" s="103" t="str">
        <f>VLOOKUP(C59,Groups!$B$7:$D$65,3,0)</f>
        <v>Ecuador</v>
      </c>
      <c r="J59" s="103" t="str">
        <f>VLOOKUP(D59,Groups!$B$7:$D$65,3,0)</f>
        <v>Deutschland</v>
      </c>
      <c r="K59" s="95"/>
      <c r="M59" s="244"/>
      <c r="N59" s="244"/>
      <c r="O59" s="244"/>
      <c r="P59" s="244"/>
      <c r="Q59" s="244"/>
      <c r="R59" s="244"/>
      <c r="S59" s="244"/>
      <c r="T59" s="244"/>
      <c r="U59" s="244"/>
      <c r="V59" s="244"/>
      <c r="W59" s="244"/>
      <c r="X59" s="244"/>
    </row>
    <row r="60" spans="2:24" x14ac:dyDescent="0.25">
      <c r="B60" s="180">
        <v>57</v>
      </c>
      <c r="C60" s="178" t="s">
        <v>265</v>
      </c>
      <c r="D60" s="179" t="s">
        <v>266</v>
      </c>
      <c r="E60" s="160">
        <v>46198.791666666664</v>
      </c>
      <c r="F60" s="66">
        <f>$E60-VLOOKUP($G60,Zeitzone!$L$4:$O$19,4,0)+VLOOKUP(Zeitzone!$H$1,Zeitzone!$C$4:$E$40,3,0)</f>
        <v>46199.041666666664</v>
      </c>
      <c r="G60" s="173">
        <v>5</v>
      </c>
      <c r="H60" s="170" t="str">
        <f>VLOOKUP($G60,Sprache!$D$103:$E$118,2,0)</f>
        <v>Dallas</v>
      </c>
      <c r="I60" s="103" t="str">
        <f>VLOOKUP(C60,Groups!$B$7:$D$65,3,0)</f>
        <v>Japan</v>
      </c>
      <c r="J60" s="103" t="str">
        <f>VLOOKUP(D60,Groups!$B$7:$D$65,3,0)</f>
        <v>Schweden</v>
      </c>
      <c r="K60" s="95"/>
      <c r="M60" s="244"/>
      <c r="N60" s="244"/>
      <c r="O60" s="244"/>
      <c r="P60" s="244"/>
      <c r="Q60" s="244"/>
      <c r="R60" s="244"/>
      <c r="S60" s="244"/>
      <c r="T60" s="244"/>
      <c r="U60" s="244"/>
      <c r="V60" s="244"/>
      <c r="W60" s="244"/>
      <c r="X60" s="244"/>
    </row>
    <row r="61" spans="2:24" x14ac:dyDescent="0.25">
      <c r="B61" s="180">
        <v>58</v>
      </c>
      <c r="C61" s="178" t="s">
        <v>1023</v>
      </c>
      <c r="D61" s="179" t="s">
        <v>264</v>
      </c>
      <c r="E61" s="160">
        <v>46198.791666666664</v>
      </c>
      <c r="F61" s="66">
        <f>$E61-VLOOKUP($G61,Zeitzone!$L$4:$O$19,4,0)+VLOOKUP(Zeitzone!$H$1,Zeitzone!$C$4:$E$40,3,0)</f>
        <v>46199.041666666664</v>
      </c>
      <c r="G61" s="173">
        <v>4</v>
      </c>
      <c r="H61" s="170" t="str">
        <f>VLOOKUP($G61,Sprache!$D$103:$E$118,2,0)</f>
        <v>Kansas City</v>
      </c>
      <c r="I61" s="103" t="str">
        <f>VLOOKUP(C61,Groups!$B$7:$D$65,3,0)</f>
        <v>Tunesien</v>
      </c>
      <c r="J61" s="103" t="str">
        <f>VLOOKUP(D61,Groups!$B$7:$D$65,3,0)</f>
        <v>Niederlande</v>
      </c>
      <c r="K61" s="95"/>
      <c r="M61" s="244"/>
      <c r="N61" s="244"/>
      <c r="O61" s="244"/>
      <c r="P61" s="244"/>
      <c r="Q61" s="244"/>
      <c r="R61" s="244"/>
      <c r="S61" s="244"/>
      <c r="T61" s="244"/>
      <c r="U61" s="244"/>
      <c r="V61" s="244"/>
      <c r="W61" s="244"/>
      <c r="X61" s="244"/>
    </row>
    <row r="62" spans="2:24" x14ac:dyDescent="0.25">
      <c r="B62" s="180">
        <v>59</v>
      </c>
      <c r="C62" s="178" t="s">
        <v>1021</v>
      </c>
      <c r="D62" s="179" t="s">
        <v>179</v>
      </c>
      <c r="E62" s="160">
        <v>46198.916666666664</v>
      </c>
      <c r="F62" s="66">
        <f>$E62-VLOOKUP($G62,Zeitzone!$L$4:$O$19,4,0)+VLOOKUP(Zeitzone!$H$1,Zeitzone!$C$4:$E$40,3,0)</f>
        <v>46199.166666666664</v>
      </c>
      <c r="G62" s="173">
        <v>8</v>
      </c>
      <c r="H62" s="170" t="str">
        <f>VLOOKUP($G62,Sprache!$D$103:$E$118,2,0)</f>
        <v>Los Angeles</v>
      </c>
      <c r="I62" s="103" t="str">
        <f>VLOOKUP(C62,Groups!$B$7:$D$65,3,0)</f>
        <v>Türkei</v>
      </c>
      <c r="J62" s="103" t="str">
        <f>VLOOKUP(D62,Groups!$B$7:$D$65,3,0)</f>
        <v>USA</v>
      </c>
      <c r="K62" s="95"/>
      <c r="M62" s="244"/>
      <c r="N62" s="244"/>
      <c r="O62" s="244"/>
      <c r="P62" s="244"/>
      <c r="Q62" s="244"/>
      <c r="R62" s="244"/>
      <c r="S62" s="244"/>
      <c r="T62" s="244"/>
      <c r="U62" s="244"/>
      <c r="V62" s="244"/>
      <c r="W62" s="244"/>
      <c r="X62" s="244"/>
    </row>
    <row r="63" spans="2:24" x14ac:dyDescent="0.25">
      <c r="B63" s="180">
        <v>60</v>
      </c>
      <c r="C63" s="178" t="s">
        <v>180</v>
      </c>
      <c r="D63" s="179" t="s">
        <v>181</v>
      </c>
      <c r="E63" s="160">
        <v>46198.916666666664</v>
      </c>
      <c r="F63" s="66">
        <f>$E63-VLOOKUP($G63,Zeitzone!$L$4:$O$19,4,0)+VLOOKUP(Zeitzone!$H$1,Zeitzone!$C$4:$E$40,3,0)</f>
        <v>46199.166666666664</v>
      </c>
      <c r="G63" s="173">
        <v>11</v>
      </c>
      <c r="H63" s="170" t="str">
        <f>VLOOKUP($G63,Sprache!$D$103:$E$118,2,0)</f>
        <v>San Francisco Bay Area</v>
      </c>
      <c r="I63" s="103" t="str">
        <f>VLOOKUP(C63,Groups!$B$7:$D$65,3,0)</f>
        <v>Paraguay</v>
      </c>
      <c r="J63" s="103" t="str">
        <f>VLOOKUP(D63,Groups!$B$7:$D$65,3,0)</f>
        <v>Australien</v>
      </c>
      <c r="K63" s="95"/>
      <c r="M63" s="244"/>
      <c r="N63" s="244"/>
      <c r="O63" s="244"/>
      <c r="P63" s="244"/>
      <c r="Q63" s="244"/>
      <c r="R63" s="244"/>
      <c r="S63" s="244"/>
      <c r="T63" s="244"/>
      <c r="U63" s="244"/>
      <c r="V63" s="244"/>
      <c r="W63" s="244"/>
      <c r="X63" s="244"/>
    </row>
    <row r="64" spans="2:24" x14ac:dyDescent="0.25">
      <c r="B64" s="180">
        <v>61</v>
      </c>
      <c r="C64" s="178" t="s">
        <v>1026</v>
      </c>
      <c r="D64" s="179" t="s">
        <v>815</v>
      </c>
      <c r="E64" s="160">
        <v>46199.625</v>
      </c>
      <c r="F64" s="66">
        <f>$E64-VLOOKUP($G64,Zeitzone!$L$4:$O$19,4,0)+VLOOKUP(Zeitzone!$H$1,Zeitzone!$C$4:$E$40,3,0)</f>
        <v>46199.875</v>
      </c>
      <c r="G64" s="173">
        <v>12</v>
      </c>
      <c r="H64" s="170" t="str">
        <f>VLOOKUP($G64,Sprache!$D$103:$E$118,2,0)</f>
        <v>Boston</v>
      </c>
      <c r="I64" s="103" t="str">
        <f>VLOOKUP(C64,Groups!$B$7:$D$65,3,0)</f>
        <v>Norwegen</v>
      </c>
      <c r="J64" s="103" t="str">
        <f>VLOOKUP(D64,Groups!$B$7:$D$65,3,0)</f>
        <v>Frankreich</v>
      </c>
      <c r="K64" s="95"/>
      <c r="M64" s="244"/>
      <c r="N64" s="244"/>
      <c r="O64" s="244"/>
      <c r="P64" s="244"/>
      <c r="Q64" s="244"/>
      <c r="R64" s="244"/>
      <c r="S64" s="244"/>
      <c r="T64" s="244"/>
      <c r="U64" s="244"/>
      <c r="V64" s="244"/>
      <c r="W64" s="244"/>
      <c r="X64" s="244"/>
    </row>
    <row r="65" spans="2:24" x14ac:dyDescent="0.25">
      <c r="B65" s="180">
        <v>62</v>
      </c>
      <c r="C65" s="178" t="s">
        <v>816</v>
      </c>
      <c r="D65" s="179" t="s">
        <v>817</v>
      </c>
      <c r="E65" s="160">
        <v>46199.625</v>
      </c>
      <c r="F65" s="66">
        <f>$E65-VLOOKUP($G65,Zeitzone!$L$4:$O$19,4,0)+VLOOKUP(Zeitzone!$H$1,Zeitzone!$C$4:$E$40,3,0)</f>
        <v>46199.875</v>
      </c>
      <c r="G65" s="173">
        <v>2</v>
      </c>
      <c r="H65" s="170" t="str">
        <f>VLOOKUP($G65,Sprache!$D$103:$E$118,2,0)</f>
        <v>Toronto</v>
      </c>
      <c r="I65" s="103" t="str">
        <f>VLOOKUP(C65,Groups!$B$7:$D$65,3,0)</f>
        <v>Senegal</v>
      </c>
      <c r="J65" s="103" t="str">
        <f>VLOOKUP(D65,Groups!$B$7:$D$65,3,0)</f>
        <v>Irak</v>
      </c>
      <c r="K65" s="95"/>
      <c r="M65" s="244"/>
      <c r="N65" s="244"/>
      <c r="O65" s="244"/>
      <c r="P65" s="244"/>
      <c r="Q65" s="244"/>
      <c r="R65" s="244"/>
      <c r="S65" s="244"/>
      <c r="T65" s="244"/>
      <c r="U65" s="244"/>
      <c r="V65" s="244"/>
      <c r="W65" s="244"/>
      <c r="X65" s="244"/>
    </row>
    <row r="66" spans="2:24" x14ac:dyDescent="0.25">
      <c r="B66" s="180">
        <v>63</v>
      </c>
      <c r="C66" s="178" t="s">
        <v>186</v>
      </c>
      <c r="D66" s="179" t="s">
        <v>187</v>
      </c>
      <c r="E66" s="160">
        <v>46199.958333333336</v>
      </c>
      <c r="F66" s="66">
        <f>$E66-VLOOKUP($G66,Zeitzone!$L$4:$O$19,4,0)+VLOOKUP(Zeitzone!$H$1,Zeitzone!$C$4:$E$40,3,0)</f>
        <v>46200.208333333336</v>
      </c>
      <c r="G66" s="173">
        <v>10</v>
      </c>
      <c r="H66" s="170" t="str">
        <f>VLOOKUP($G66,Sprache!$D$103:$E$118,2,0)</f>
        <v>Seattle</v>
      </c>
      <c r="I66" s="103" t="str">
        <f>VLOOKUP(C66,Groups!$B$7:$D$65,3,0)</f>
        <v>Ägypten</v>
      </c>
      <c r="J66" s="103" t="str">
        <f>VLOOKUP(D66,Groups!$B$7:$D$65,3,0)</f>
        <v>IR Iran</v>
      </c>
      <c r="K66" s="95"/>
      <c r="M66" s="244"/>
      <c r="N66" s="244"/>
      <c r="O66" s="244"/>
      <c r="P66" s="244"/>
      <c r="Q66" s="244"/>
      <c r="R66" s="244"/>
      <c r="S66" s="244"/>
      <c r="T66" s="244"/>
      <c r="U66" s="244"/>
      <c r="V66" s="244"/>
      <c r="W66" s="244"/>
      <c r="X66" s="244"/>
    </row>
    <row r="67" spans="2:24" x14ac:dyDescent="0.25">
      <c r="B67" s="180">
        <v>64</v>
      </c>
      <c r="C67" s="178" t="s">
        <v>1024</v>
      </c>
      <c r="D67" s="179" t="s">
        <v>185</v>
      </c>
      <c r="E67" s="160">
        <v>46199.958333333336</v>
      </c>
      <c r="F67" s="66">
        <f>$E67-VLOOKUP($G67,Zeitzone!$L$4:$O$19,4,0)+VLOOKUP(Zeitzone!$H$1,Zeitzone!$C$4:$E$40,3,0)</f>
        <v>46200.208333333336</v>
      </c>
      <c r="G67" s="173">
        <v>1</v>
      </c>
      <c r="H67" s="170" t="str">
        <f>VLOOKUP($G67,Sprache!$D$103:$E$118,2,0)</f>
        <v>Vancouver</v>
      </c>
      <c r="I67" s="103" t="str">
        <f>VLOOKUP(C67,Groups!$B$7:$D$65,3,0)</f>
        <v>Neuseeland</v>
      </c>
      <c r="J67" s="103" t="str">
        <f>VLOOKUP(D67,Groups!$B$7:$D$65,3,0)</f>
        <v>Belgien</v>
      </c>
      <c r="K67" s="95"/>
      <c r="M67" s="244"/>
      <c r="N67" s="244"/>
      <c r="O67" s="244"/>
      <c r="P67" s="244"/>
      <c r="Q67" s="244"/>
      <c r="R67" s="244"/>
      <c r="S67" s="244"/>
      <c r="T67" s="244"/>
      <c r="U67" s="244"/>
      <c r="V67" s="244"/>
      <c r="W67" s="244"/>
      <c r="X67" s="244"/>
    </row>
    <row r="68" spans="2:24" ht="15.75" thickBot="1" x14ac:dyDescent="0.3">
      <c r="B68" s="180">
        <v>65</v>
      </c>
      <c r="C68" s="178" t="s">
        <v>268</v>
      </c>
      <c r="D68" s="179" t="s">
        <v>269</v>
      </c>
      <c r="E68" s="160">
        <v>46199.833333333336</v>
      </c>
      <c r="F68" s="66">
        <f>$E68-VLOOKUP($G68,Zeitzone!$L$4:$O$19,4,0)+VLOOKUP(Zeitzone!$H$1,Zeitzone!$C$4:$E$40,3,0)</f>
        <v>46200.083333333336</v>
      </c>
      <c r="G68" s="173">
        <v>6</v>
      </c>
      <c r="H68" s="170" t="str">
        <f>VLOOKUP($G68,Sprache!$D$103:$E$118,2,0)</f>
        <v>Houston</v>
      </c>
      <c r="I68" s="103" t="str">
        <f>VLOOKUP(C68,Groups!$B$7:$D$65,3,0)</f>
        <v>Kap Verde</v>
      </c>
      <c r="J68" s="103" t="str">
        <f>VLOOKUP(D68,Groups!$B$7:$D$65,3,0)</f>
        <v>Saudiarabien</v>
      </c>
      <c r="K68" s="95"/>
      <c r="L68" s="432" t="s">
        <v>1683</v>
      </c>
      <c r="M68" s="244"/>
      <c r="N68" s="244"/>
      <c r="O68" s="432" t="s">
        <v>1083</v>
      </c>
      <c r="P68" s="244"/>
      <c r="Q68" s="244"/>
      <c r="R68" s="244"/>
      <c r="S68" s="244"/>
      <c r="T68" s="244"/>
      <c r="U68" s="244"/>
      <c r="V68" s="244"/>
      <c r="W68" s="244"/>
      <c r="X68" s="244"/>
    </row>
    <row r="69" spans="2:24" x14ac:dyDescent="0.25">
      <c r="B69" s="180">
        <v>66</v>
      </c>
      <c r="C69" s="178" t="s">
        <v>1025</v>
      </c>
      <c r="D69" s="179" t="s">
        <v>267</v>
      </c>
      <c r="E69" s="160">
        <v>46199.833333333336</v>
      </c>
      <c r="F69" s="66">
        <f>$E69-VLOOKUP($G69,Zeitzone!$L$4:$O$19,4,0)+VLOOKUP(Zeitzone!$H$1,Zeitzone!$C$4:$E$40,3,0)</f>
        <v>46200.083333333336</v>
      </c>
      <c r="G69" s="173">
        <v>15</v>
      </c>
      <c r="H69" s="170" t="str">
        <f>VLOOKUP($G69,Sprache!$D$103:$E$118,2,0)</f>
        <v>Guadalajara</v>
      </c>
      <c r="I69" s="103" t="str">
        <f>VLOOKUP(C69,Groups!$B$7:$D$65,3,0)</f>
        <v>Uruguay</v>
      </c>
      <c r="J69" s="103" t="str">
        <f>VLOOKUP(D69,Groups!$B$7:$D$65,3,0)</f>
        <v>Spanien</v>
      </c>
      <c r="K69" s="95"/>
      <c r="L69" s="443" t="b">
        <f>IFERROR(VLOOKUP(N69,Groups!$D$7:$E$65,2,0),FALSE)</f>
        <v>0</v>
      </c>
      <c r="M69" s="444" t="str">
        <f>M101</f>
        <v>3-CEFHI</v>
      </c>
      <c r="N69" s="445" t="str">
        <f>IF(Distinctness!$G$17&gt;0,INDEX(ThirdPlaced!$C$4:$C$15,MATCH(O69,ThirdPlaced!$I$4:$I$15),0),"")</f>
        <v/>
      </c>
      <c r="O69" s="446" t="str">
        <f>IFERROR(VLOOKUP(ThirdPlaced!$I$30,AssignThird!$C$8:$K$502,2,0),"")</f>
        <v/>
      </c>
      <c r="P69" s="244"/>
      <c r="Q69" s="244"/>
      <c r="R69" s="244"/>
      <c r="S69" s="244"/>
      <c r="T69" s="244"/>
      <c r="U69" s="244"/>
      <c r="V69" s="244"/>
      <c r="W69" s="244"/>
      <c r="X69" s="244"/>
    </row>
    <row r="70" spans="2:24" x14ac:dyDescent="0.25">
      <c r="B70" s="180">
        <v>67</v>
      </c>
      <c r="C70" s="178" t="s">
        <v>1029</v>
      </c>
      <c r="D70" s="179" t="s">
        <v>824</v>
      </c>
      <c r="E70" s="160">
        <v>46200.708333333336</v>
      </c>
      <c r="F70" s="66">
        <f>$E70-VLOOKUP($G70,Zeitzone!$L$4:$O$19,4,0)+VLOOKUP(Zeitzone!$H$1,Zeitzone!$C$4:$E$40,3,0)</f>
        <v>46200.958333333336</v>
      </c>
      <c r="G70" s="173">
        <v>3</v>
      </c>
      <c r="H70" s="170" t="str">
        <f>VLOOKUP($G70,Sprache!$D$103:$E$118,2,0)</f>
        <v>New York/New Jersey</v>
      </c>
      <c r="I70" s="103" t="str">
        <f>VLOOKUP(C70,Groups!$B$7:$D$65,3,0)</f>
        <v>Panama</v>
      </c>
      <c r="J70" s="103" t="str">
        <f>VLOOKUP(D70,Groups!$B$7:$D$65,3,0)</f>
        <v>England</v>
      </c>
      <c r="K70" s="95"/>
      <c r="L70" s="447" t="b">
        <f>IFERROR(VLOOKUP(N70,Groups!$D$7:$E$65,2,0),FALSE)</f>
        <v>0</v>
      </c>
      <c r="M70" s="448" t="str">
        <f t="shared" ref="M70:M75" si="0">M102</f>
        <v>3-EFGIJ</v>
      </c>
      <c r="N70" s="449" t="str">
        <f>IF(Distinctness!$G$17&gt;0,INDEX(ThirdPlaced!$C$4:$C$15,MATCH(O70,ThirdPlaced!$I$4:$I$15),0),"")</f>
        <v/>
      </c>
      <c r="O70" s="450" t="str">
        <f>IFERROR(VLOOKUP(ThirdPlaced!$I$30,AssignThird!$C$8:$K$502,3,0),"")</f>
        <v/>
      </c>
      <c r="P70" s="244"/>
      <c r="Q70" s="244"/>
      <c r="R70" s="244"/>
      <c r="S70" s="244"/>
      <c r="T70" s="244"/>
      <c r="U70" s="244"/>
      <c r="V70" s="244"/>
      <c r="W70" s="244"/>
      <c r="X70" s="244"/>
    </row>
    <row r="71" spans="2:24" x14ac:dyDescent="0.25">
      <c r="B71" s="180">
        <v>68</v>
      </c>
      <c r="C71" s="178" t="s">
        <v>825</v>
      </c>
      <c r="D71" s="179" t="s">
        <v>826</v>
      </c>
      <c r="E71" s="160">
        <v>46200.708333333336</v>
      </c>
      <c r="F71" s="66">
        <f>$E71-VLOOKUP($G71,Zeitzone!$L$4:$O$19,4,0)+VLOOKUP(Zeitzone!$H$1,Zeitzone!$C$4:$E$40,3,0)</f>
        <v>46200.958333333336</v>
      </c>
      <c r="G71" s="173">
        <v>9</v>
      </c>
      <c r="H71" s="170" t="str">
        <f>VLOOKUP($G71,Sprache!$D$103:$E$118,2,0)</f>
        <v>Philadelphia</v>
      </c>
      <c r="I71" s="103" t="str">
        <f>VLOOKUP(C71,Groups!$B$7:$D$65,3,0)</f>
        <v>Kroatien</v>
      </c>
      <c r="J71" s="103" t="str">
        <f>VLOOKUP(D71,Groups!$B$7:$D$65,3,0)</f>
        <v>Ghana</v>
      </c>
      <c r="K71" s="95"/>
      <c r="L71" s="447" t="b">
        <f>IFERROR(VLOOKUP(N71,Groups!$D$7:$E$65,2,0),FALSE)</f>
        <v>0</v>
      </c>
      <c r="M71" s="448" t="str">
        <f t="shared" si="0"/>
        <v>3-BEFIJ</v>
      </c>
      <c r="N71" s="449" t="str">
        <f>IF(Distinctness!$G$17&gt;0,INDEX(ThirdPlaced!$C$4:$C$15,MATCH(O71,ThirdPlaced!$I$4:$I$15),0),"")</f>
        <v/>
      </c>
      <c r="O71" s="450" t="str">
        <f>IFERROR(VLOOKUP(ThirdPlaced!$I$30,AssignThird!$C$8:$K$502,4,0),"")</f>
        <v/>
      </c>
      <c r="P71" s="244"/>
      <c r="Q71" s="244"/>
      <c r="R71" s="244"/>
      <c r="S71" s="244"/>
      <c r="T71" s="244"/>
      <c r="U71" s="244"/>
      <c r="V71" s="244"/>
      <c r="W71" s="244"/>
      <c r="X71" s="244"/>
    </row>
    <row r="72" spans="2:24" x14ac:dyDescent="0.25">
      <c r="B72" s="180">
        <v>69</v>
      </c>
      <c r="C72" s="178" t="s">
        <v>819</v>
      </c>
      <c r="D72" s="179" t="s">
        <v>820</v>
      </c>
      <c r="E72" s="160">
        <v>46200.916666666664</v>
      </c>
      <c r="F72" s="66">
        <f>$E72-VLOOKUP($G72,Zeitzone!$L$4:$O$19,4,0)+VLOOKUP(Zeitzone!$H$1,Zeitzone!$C$4:$E$40,3,0)</f>
        <v>46201.166666666664</v>
      </c>
      <c r="G72" s="173">
        <v>4</v>
      </c>
      <c r="H72" s="170" t="str">
        <f>VLOOKUP($G72,Sprache!$D$103:$E$118,2,0)</f>
        <v>Kansas City</v>
      </c>
      <c r="I72" s="103" t="str">
        <f>VLOOKUP(C72,Groups!$B$7:$D$65,3,0)</f>
        <v>Algerien</v>
      </c>
      <c r="J72" s="103" t="str">
        <f>VLOOKUP(D72,Groups!$B$7:$D$65,3,0)</f>
        <v>Österreich</v>
      </c>
      <c r="K72" s="95"/>
      <c r="L72" s="447" t="b">
        <f>IFERROR(VLOOKUP(N72,Groups!$D$7:$E$65,2,0),FALSE)</f>
        <v>0</v>
      </c>
      <c r="M72" s="448" t="str">
        <f t="shared" si="0"/>
        <v>3-ABCDF</v>
      </c>
      <c r="N72" s="449" t="str">
        <f>IF(Distinctness!$G$17&gt;0,INDEX(ThirdPlaced!$C$4:$C$15,MATCH(O72,ThirdPlaced!$I$4:$I$15),0),"")</f>
        <v/>
      </c>
      <c r="O72" s="450" t="str">
        <f>IFERROR(VLOOKUP(ThirdPlaced!$I$30,AssignThird!$C$8:$K$502,5,0),"")</f>
        <v/>
      </c>
      <c r="P72" s="244"/>
      <c r="Q72" s="244"/>
      <c r="R72" s="244"/>
      <c r="S72" s="244"/>
      <c r="T72" s="244"/>
      <c r="U72" s="244"/>
      <c r="V72" s="244"/>
      <c r="W72" s="244"/>
      <c r="X72" s="244"/>
    </row>
    <row r="73" spans="2:24" x14ac:dyDescent="0.25">
      <c r="B73" s="180">
        <v>70</v>
      </c>
      <c r="C73" s="178" t="s">
        <v>1027</v>
      </c>
      <c r="D73" s="179" t="s">
        <v>818</v>
      </c>
      <c r="E73" s="160">
        <v>46200.916666666664</v>
      </c>
      <c r="F73" s="66">
        <f>$E73-VLOOKUP($G73,Zeitzone!$L$4:$O$19,4,0)+VLOOKUP(Zeitzone!$H$1,Zeitzone!$C$4:$E$40,3,0)</f>
        <v>46201.166666666664</v>
      </c>
      <c r="G73" s="173">
        <v>5</v>
      </c>
      <c r="H73" s="170" t="str">
        <f>VLOOKUP($G73,Sprache!$D$103:$E$118,2,0)</f>
        <v>Dallas</v>
      </c>
      <c r="I73" s="103" t="str">
        <f>VLOOKUP(C73,Groups!$B$7:$D$65,3,0)</f>
        <v>Jordanien</v>
      </c>
      <c r="J73" s="103" t="str">
        <f>VLOOKUP(D73,Groups!$B$7:$D$65,3,0)</f>
        <v>Argentinien</v>
      </c>
      <c r="K73" s="95"/>
      <c r="L73" s="447" t="b">
        <f>IFERROR(VLOOKUP(N73,Groups!$D$7:$E$65,2,0),FALSE)</f>
        <v>0</v>
      </c>
      <c r="M73" s="448" t="str">
        <f t="shared" si="0"/>
        <v>3-AEHIJ</v>
      </c>
      <c r="N73" s="449" t="str">
        <f>IF(Distinctness!$G$17&gt;0,INDEX(ThirdPlaced!$C$4:$C$15,MATCH(O73,ThirdPlaced!$I$4:$I$15),0),"")</f>
        <v/>
      </c>
      <c r="O73" s="450" t="str">
        <f>IFERROR(VLOOKUP(ThirdPlaced!$I$30,AssignThird!$C$8:$K$502,6,0),"")</f>
        <v/>
      </c>
      <c r="P73" s="244"/>
      <c r="Q73" s="244"/>
      <c r="R73" s="244"/>
      <c r="S73" s="244"/>
      <c r="T73" s="244"/>
      <c r="U73" s="244"/>
      <c r="V73" s="244"/>
      <c r="W73" s="244"/>
      <c r="X73" s="244"/>
    </row>
    <row r="74" spans="2:24" x14ac:dyDescent="0.25">
      <c r="B74" s="180">
        <v>71</v>
      </c>
      <c r="C74" s="178" t="s">
        <v>1028</v>
      </c>
      <c r="D74" s="179" t="s">
        <v>821</v>
      </c>
      <c r="E74" s="160">
        <v>46200.8125</v>
      </c>
      <c r="F74" s="66">
        <f>$E74-VLOOKUP($G74,Zeitzone!$L$4:$O$19,4,0)+VLOOKUP(Zeitzone!$H$1,Zeitzone!$C$4:$E$40,3,0)</f>
        <v>46201.0625</v>
      </c>
      <c r="G74" s="173">
        <v>13</v>
      </c>
      <c r="H74" s="170" t="str">
        <f>VLOOKUP($G74,Sprache!$D$103:$E$118,2,0)</f>
        <v>Miami</v>
      </c>
      <c r="I74" s="103" t="str">
        <f>VLOOKUP(C74,Groups!$B$7:$D$65,3,0)</f>
        <v>Kolumbien</v>
      </c>
      <c r="J74" s="103" t="str">
        <f>VLOOKUP(D74,Groups!$B$7:$D$65,3,0)</f>
        <v>Portugal</v>
      </c>
      <c r="K74" s="95"/>
      <c r="L74" s="447" t="b">
        <f>IFERROR(VLOOKUP(N74,Groups!$D$7:$E$65,2,0),FALSE)</f>
        <v>0</v>
      </c>
      <c r="M74" s="448" t="str">
        <f t="shared" si="0"/>
        <v>3-CDFGH</v>
      </c>
      <c r="N74" s="449" t="str">
        <f>IF(Distinctness!$G$17&gt;0,INDEX(ThirdPlaced!$C$4:$C$15,MATCH(O74,ThirdPlaced!$I$4:$I$15),0),"")</f>
        <v/>
      </c>
      <c r="O74" s="450" t="str">
        <f>IFERROR(VLOOKUP(ThirdPlaced!$I$30,AssignThird!$C$8:$K$502,7,0),"")</f>
        <v/>
      </c>
      <c r="P74" s="244"/>
      <c r="Q74" s="244"/>
      <c r="R74" s="244"/>
      <c r="S74" s="244"/>
      <c r="T74" s="244"/>
      <c r="U74" s="244"/>
      <c r="V74" s="244"/>
      <c r="W74" s="244"/>
      <c r="X74" s="244"/>
    </row>
    <row r="75" spans="2:24" x14ac:dyDescent="0.25">
      <c r="B75" s="180">
        <v>72</v>
      </c>
      <c r="C75" s="178" t="s">
        <v>822</v>
      </c>
      <c r="D75" s="179" t="s">
        <v>823</v>
      </c>
      <c r="E75" s="160">
        <v>46200.8125</v>
      </c>
      <c r="F75" s="66">
        <f>$E75-VLOOKUP($G75,Zeitzone!$L$4:$O$19,4,0)+VLOOKUP(Zeitzone!$H$1,Zeitzone!$C$4:$E$40,3,0)</f>
        <v>46201.0625</v>
      </c>
      <c r="G75" s="173">
        <v>7</v>
      </c>
      <c r="H75" s="170" t="str">
        <f>VLOOKUP($G75,Sprache!$D$103:$E$118,2,0)</f>
        <v>Atlanta</v>
      </c>
      <c r="I75" s="103" t="str">
        <f>VLOOKUP(C75,Groups!$B$7:$D$65,3,0)</f>
        <v>DR Kongo</v>
      </c>
      <c r="J75" s="103" t="str">
        <f>VLOOKUP(D75,Groups!$B$7:$D$65,3,0)</f>
        <v>Usbekistan</v>
      </c>
      <c r="K75" s="95"/>
      <c r="L75" s="447" t="b">
        <f>IFERROR(VLOOKUP(N75,Groups!$D$7:$E$65,2,0),FALSE)</f>
        <v>0</v>
      </c>
      <c r="M75" s="448" t="str">
        <f t="shared" si="0"/>
        <v>3-DEIJL</v>
      </c>
      <c r="N75" s="449" t="str">
        <f>IF(Distinctness!$G$17&gt;0,INDEX(ThirdPlaced!$C$4:$C$15,MATCH(O75,ThirdPlaced!$I$4:$I$15),0),"")</f>
        <v/>
      </c>
      <c r="O75" s="450" t="str">
        <f>IFERROR(VLOOKUP(ThirdPlaced!$I$30,AssignThird!$C$8:$K$502,8,0),"")</f>
        <v/>
      </c>
    </row>
    <row r="76" spans="2:24" ht="15.75" thickBot="1" x14ac:dyDescent="0.3">
      <c r="B76" s="67" t="s">
        <v>870</v>
      </c>
      <c r="C76" s="84"/>
      <c r="D76" s="84"/>
      <c r="E76" s="49"/>
      <c r="F76" s="50"/>
      <c r="G76" s="169"/>
      <c r="H76" s="50"/>
      <c r="I76" s="50"/>
      <c r="J76" s="50"/>
      <c r="K76" s="96"/>
      <c r="L76" s="451" t="b">
        <f>IFERROR(VLOOKUP(N76,Groups!$D$7:$E$65,2,0),FALSE)</f>
        <v>0</v>
      </c>
      <c r="M76" s="452" t="str">
        <f>M108</f>
        <v>3-EHIJK</v>
      </c>
      <c r="N76" s="453" t="str">
        <f>IF(Distinctness!$G$17&gt;0,INDEX(ThirdPlaced!$C$4:$C$15,MATCH(O76,ThirdPlaced!$I$4:$I$15),0),"")</f>
        <v/>
      </c>
      <c r="O76" s="454" t="str">
        <f>IFERROR(VLOOKUP(ThirdPlaced!$I$30,AssignThird!$C$8:$K$502,9,0),"")</f>
        <v/>
      </c>
      <c r="P76" s="237"/>
      <c r="Q76" s="237"/>
      <c r="R76" s="237"/>
      <c r="S76" s="237"/>
      <c r="T76" s="237"/>
      <c r="U76" s="237"/>
      <c r="V76" s="237"/>
      <c r="W76" s="237"/>
      <c r="X76" s="237"/>
    </row>
    <row r="77" spans="2:24" x14ac:dyDescent="0.25">
      <c r="B77" s="180">
        <v>73</v>
      </c>
      <c r="C77" s="178" t="s">
        <v>8</v>
      </c>
      <c r="D77" s="179" t="s">
        <v>9</v>
      </c>
      <c r="E77" s="160">
        <v>46201.625</v>
      </c>
      <c r="F77" s="66">
        <f>$E77-VLOOKUP($G77,Zeitzone!$L$4:$O$19,4,0)+VLOOKUP(Zeitzone!$H$1,Zeitzone!$C$4:$E$40,3,0)</f>
        <v>46201.875</v>
      </c>
      <c r="G77" s="173">
        <v>8</v>
      </c>
      <c r="H77" s="170" t="str">
        <f>VLOOKUP($G77,Sprache!$D$103:$E$118,2,0)</f>
        <v>Los Angeles</v>
      </c>
      <c r="I77" s="103" t="str">
        <f>VLOOKUP(C77,$M$77:$N$108,2,0)</f>
        <v/>
      </c>
      <c r="J77" s="103" t="str">
        <f>VLOOKUP(D77,$M$77:$N$108,2,0)</f>
        <v/>
      </c>
      <c r="K77" s="186">
        <v>1</v>
      </c>
      <c r="M77" s="437" t="s">
        <v>2</v>
      </c>
      <c r="N77" s="438" t="str">
        <f>'World Cup'!$B$42</f>
        <v/>
      </c>
      <c r="O77" s="237"/>
      <c r="P77" s="237"/>
      <c r="Q77" s="237"/>
      <c r="R77" s="237"/>
      <c r="S77" s="237"/>
      <c r="T77" s="237"/>
      <c r="U77" s="237"/>
      <c r="V77" s="237"/>
      <c r="W77" s="237"/>
      <c r="X77" s="237"/>
    </row>
    <row r="78" spans="2:24" x14ac:dyDescent="0.25">
      <c r="B78" s="180">
        <v>74</v>
      </c>
      <c r="C78" s="178" t="s">
        <v>6</v>
      </c>
      <c r="D78" s="179" t="str">
        <f>AssignThird!$G$4</f>
        <v>3-ABCDF</v>
      </c>
      <c r="E78" s="160">
        <v>46202.6875</v>
      </c>
      <c r="F78" s="66">
        <f>$E78-VLOOKUP($G78,Zeitzone!$L$4:$O$19,4,0)+VLOOKUP(Zeitzone!$H$1,Zeitzone!$C$4:$E$40,3,0)</f>
        <v>46202.9375</v>
      </c>
      <c r="G78" s="173">
        <v>12</v>
      </c>
      <c r="H78" s="170" t="str">
        <f>VLOOKUP($G78,Sprache!$D$103:$E$118,2,0)</f>
        <v>Boston</v>
      </c>
      <c r="I78" s="103" t="str">
        <f t="shared" ref="I78:I92" si="1">VLOOKUP(C78,$M$77:$N$108,2,0)</f>
        <v/>
      </c>
      <c r="J78" s="103" t="str">
        <f t="shared" ref="J78:J92" si="2">VLOOKUP(D78,$M$77:$N$108,2,0)</f>
        <v/>
      </c>
      <c r="K78" s="186">
        <v>3</v>
      </c>
      <c r="M78" s="439" t="s">
        <v>8</v>
      </c>
      <c r="N78" s="440" t="str">
        <f>'World Cup'!$B$43</f>
        <v/>
      </c>
      <c r="O78" s="237"/>
      <c r="P78" s="237"/>
      <c r="Q78" s="237"/>
      <c r="R78" s="237"/>
      <c r="S78" s="237"/>
      <c r="T78" s="237"/>
      <c r="U78" s="237"/>
      <c r="V78" s="237"/>
      <c r="W78" s="237"/>
      <c r="X78" s="237"/>
    </row>
    <row r="79" spans="2:24" x14ac:dyDescent="0.25">
      <c r="B79" s="180">
        <v>75</v>
      </c>
      <c r="C79" s="178" t="s">
        <v>7</v>
      </c>
      <c r="D79" s="179" t="s">
        <v>10</v>
      </c>
      <c r="E79" s="160">
        <v>46202.875</v>
      </c>
      <c r="F79" s="66">
        <f>$E79-VLOOKUP($G79,Zeitzone!$L$4:$O$19,4,0)+VLOOKUP(Zeitzone!$H$1,Zeitzone!$C$4:$E$40,3,0)</f>
        <v>46203.125</v>
      </c>
      <c r="G79" s="173">
        <v>16</v>
      </c>
      <c r="H79" s="170" t="str">
        <f>VLOOKUP($G79,Sprache!$D$103:$E$118,2,0)</f>
        <v>Monterrey</v>
      </c>
      <c r="I79" s="103" t="str">
        <f t="shared" si="1"/>
        <v/>
      </c>
      <c r="J79" s="103" t="str">
        <f t="shared" si="2"/>
        <v/>
      </c>
      <c r="K79" s="186">
        <v>4</v>
      </c>
      <c r="M79" s="439" t="s">
        <v>3</v>
      </c>
      <c r="N79" s="440" t="str">
        <f>'World Cup'!$E$42</f>
        <v/>
      </c>
      <c r="O79" s="237"/>
      <c r="P79" s="237"/>
      <c r="Q79" s="237"/>
      <c r="R79" s="237"/>
      <c r="S79" s="237"/>
      <c r="T79" s="237"/>
      <c r="U79" s="237"/>
      <c r="V79" s="237"/>
      <c r="W79" s="237"/>
      <c r="X79" s="237"/>
    </row>
    <row r="80" spans="2:24" x14ac:dyDescent="0.25">
      <c r="B80" s="180">
        <v>76</v>
      </c>
      <c r="C80" s="178" t="s">
        <v>4</v>
      </c>
      <c r="D80" s="179" t="s">
        <v>13</v>
      </c>
      <c r="E80" s="160">
        <v>46202.541666666664</v>
      </c>
      <c r="F80" s="66">
        <f>$E80-VLOOKUP($G80,Zeitzone!$L$4:$O$19,4,0)+VLOOKUP(Zeitzone!$H$1,Zeitzone!$C$4:$E$40,3,0)</f>
        <v>46202.791666666664</v>
      </c>
      <c r="G80" s="173">
        <v>6</v>
      </c>
      <c r="H80" s="170" t="str">
        <f>VLOOKUP($G80,Sprache!$D$103:$E$118,2,0)</f>
        <v>Houston</v>
      </c>
      <c r="I80" s="103" t="str">
        <f t="shared" si="1"/>
        <v/>
      </c>
      <c r="J80" s="103" t="str">
        <f t="shared" si="2"/>
        <v/>
      </c>
      <c r="K80" s="186">
        <v>2</v>
      </c>
      <c r="M80" s="439" t="s">
        <v>9</v>
      </c>
      <c r="N80" s="440" t="str">
        <f>'World Cup'!$E$43</f>
        <v/>
      </c>
      <c r="O80" s="237"/>
      <c r="P80" s="237"/>
      <c r="Q80" s="237"/>
      <c r="R80" s="237"/>
      <c r="S80" s="237"/>
      <c r="T80" s="237"/>
      <c r="U80" s="237"/>
      <c r="V80" s="237"/>
      <c r="W80" s="237"/>
      <c r="X80" s="237"/>
    </row>
    <row r="81" spans="2:24" x14ac:dyDescent="0.25">
      <c r="B81" s="180">
        <v>77</v>
      </c>
      <c r="C81" s="178" t="s">
        <v>828</v>
      </c>
      <c r="D81" s="179" t="str">
        <f>AssignThird!$I$4</f>
        <v>3-CDFGH</v>
      </c>
      <c r="E81" s="160">
        <v>46203.708333333336</v>
      </c>
      <c r="F81" s="66">
        <f>$E81-VLOOKUP($G81,Zeitzone!$L$4:$O$19,4,0)+VLOOKUP(Zeitzone!$H$1,Zeitzone!$C$4:$E$40,3,0)</f>
        <v>46203.958333333336</v>
      </c>
      <c r="G81" s="173">
        <v>3</v>
      </c>
      <c r="H81" s="170" t="str">
        <f>VLOOKUP($G81,Sprache!$D$103:$E$118,2,0)</f>
        <v>New York/New Jersey</v>
      </c>
      <c r="I81" s="103" t="str">
        <f t="shared" si="1"/>
        <v/>
      </c>
      <c r="J81" s="103" t="str">
        <f t="shared" si="2"/>
        <v/>
      </c>
      <c r="K81" s="186">
        <v>6</v>
      </c>
      <c r="M81" s="439" t="s">
        <v>4</v>
      </c>
      <c r="N81" s="440" t="str">
        <f>'World Cup'!$H$42</f>
        <v/>
      </c>
      <c r="O81" s="237"/>
      <c r="P81" s="237"/>
      <c r="Q81" s="237"/>
      <c r="R81" s="237"/>
      <c r="S81" s="237"/>
      <c r="T81" s="237"/>
      <c r="U81" s="237"/>
      <c r="V81" s="237"/>
      <c r="W81" s="237"/>
      <c r="X81" s="237"/>
    </row>
    <row r="82" spans="2:24" x14ac:dyDescent="0.25">
      <c r="B82" s="180">
        <v>78</v>
      </c>
      <c r="C82" s="178" t="s">
        <v>12</v>
      </c>
      <c r="D82" s="179" t="s">
        <v>829</v>
      </c>
      <c r="E82" s="160">
        <v>46203.541666666664</v>
      </c>
      <c r="F82" s="66">
        <f>$E82-VLOOKUP($G82,Zeitzone!$L$4:$O$19,4,0)+VLOOKUP(Zeitzone!$H$1,Zeitzone!$C$4:$E$40,3,0)</f>
        <v>46203.791666666664</v>
      </c>
      <c r="G82" s="173">
        <v>5</v>
      </c>
      <c r="H82" s="170" t="str">
        <f>VLOOKUP($G82,Sprache!$D$103:$E$118,2,0)</f>
        <v>Dallas</v>
      </c>
      <c r="I82" s="103" t="str">
        <f t="shared" si="1"/>
        <v/>
      </c>
      <c r="J82" s="103" t="str">
        <f t="shared" si="2"/>
        <v/>
      </c>
      <c r="K82" s="186">
        <v>5</v>
      </c>
      <c r="M82" s="439" t="s">
        <v>10</v>
      </c>
      <c r="N82" s="440" t="str">
        <f>'World Cup'!$H$43</f>
        <v/>
      </c>
      <c r="O82" s="237"/>
      <c r="P82" s="237"/>
      <c r="Q82" s="237"/>
      <c r="R82" s="237"/>
      <c r="S82" s="237"/>
      <c r="T82" s="237"/>
      <c r="U82" s="237"/>
      <c r="V82" s="237"/>
      <c r="W82" s="237"/>
      <c r="X82" s="237"/>
    </row>
    <row r="83" spans="2:24" x14ac:dyDescent="0.25">
      <c r="B83" s="180">
        <v>79</v>
      </c>
      <c r="C83" s="178" t="s">
        <v>2</v>
      </c>
      <c r="D83" s="179" t="str">
        <f>AssignThird!$D$4</f>
        <v>3-CEFHI</v>
      </c>
      <c r="E83" s="160">
        <v>46203.875</v>
      </c>
      <c r="F83" s="66">
        <f>$E83-VLOOKUP($G83,Zeitzone!$L$4:$O$19,4,0)+VLOOKUP(Zeitzone!$H$1,Zeitzone!$C$4:$E$40,3,0)</f>
        <v>46204.125</v>
      </c>
      <c r="G83" s="171">
        <v>14</v>
      </c>
      <c r="H83" s="170" t="str">
        <f>VLOOKUP($G83,Sprache!$D$103:$E$118,2,0)</f>
        <v>Mexico City</v>
      </c>
      <c r="I83" s="103" t="str">
        <f t="shared" si="1"/>
        <v/>
      </c>
      <c r="J83" s="103" t="str">
        <f t="shared" si="2"/>
        <v/>
      </c>
      <c r="K83" s="186">
        <v>7</v>
      </c>
      <c r="M83" s="439" t="s">
        <v>5</v>
      </c>
      <c r="N83" s="440" t="str">
        <f>'World Cup'!$K$42</f>
        <v/>
      </c>
      <c r="O83" s="237"/>
      <c r="P83" s="237"/>
      <c r="Q83" s="237"/>
      <c r="R83" s="237"/>
      <c r="S83" s="237"/>
      <c r="T83" s="237"/>
      <c r="U83" s="237"/>
      <c r="V83" s="237"/>
      <c r="W83" s="237"/>
      <c r="X83" s="237"/>
    </row>
    <row r="84" spans="2:24" x14ac:dyDescent="0.25">
      <c r="B84" s="180">
        <v>80</v>
      </c>
      <c r="C84" s="178" t="s">
        <v>837</v>
      </c>
      <c r="D84" s="179" t="str">
        <f>AssignThird!$K$4</f>
        <v>3-EHIJK</v>
      </c>
      <c r="E84" s="160">
        <v>46204.5</v>
      </c>
      <c r="F84" s="66">
        <f>$E84-VLOOKUP($G84,Zeitzone!$L$4:$O$19,4,0)+VLOOKUP(Zeitzone!$H$1,Zeitzone!$C$4:$E$40,3,0)</f>
        <v>46204.75</v>
      </c>
      <c r="G84" s="173">
        <v>7</v>
      </c>
      <c r="H84" s="170" t="str">
        <f>VLOOKUP($G84,Sprache!$D$103:$E$118,2,0)</f>
        <v>Atlanta</v>
      </c>
      <c r="I84" s="103" t="str">
        <f t="shared" si="1"/>
        <v/>
      </c>
      <c r="J84" s="103" t="str">
        <f t="shared" si="2"/>
        <v/>
      </c>
      <c r="K84" s="186">
        <v>8</v>
      </c>
      <c r="M84" s="439" t="s">
        <v>11</v>
      </c>
      <c r="N84" s="440" t="str">
        <f>'World Cup'!$K$43</f>
        <v/>
      </c>
      <c r="O84" s="237"/>
      <c r="P84" s="237"/>
      <c r="Q84" s="237"/>
      <c r="R84" s="237"/>
      <c r="S84" s="237"/>
      <c r="T84" s="237"/>
      <c r="U84" s="237"/>
      <c r="V84" s="237"/>
      <c r="W84" s="237"/>
      <c r="X84" s="237"/>
    </row>
    <row r="85" spans="2:24" x14ac:dyDescent="0.25">
      <c r="B85" s="180">
        <v>81</v>
      </c>
      <c r="C85" s="178" t="s">
        <v>5</v>
      </c>
      <c r="D85" s="179" t="str">
        <f>AssignThird!$F$4</f>
        <v>3-BEFIJ</v>
      </c>
      <c r="E85" s="160">
        <v>46204.833333333336</v>
      </c>
      <c r="F85" s="66">
        <f>$E85-VLOOKUP($G85,Zeitzone!$L$4:$O$19,4,0)+VLOOKUP(Zeitzone!$H$1,Zeitzone!$C$4:$E$40,3,0)</f>
        <v>46205.083333333336</v>
      </c>
      <c r="G85" s="173">
        <v>11</v>
      </c>
      <c r="H85" s="170" t="str">
        <f>VLOOKUP($G85,Sprache!$D$103:$E$118,2,0)</f>
        <v>San Francisco Bay Area</v>
      </c>
      <c r="I85" s="103" t="str">
        <f t="shared" si="1"/>
        <v/>
      </c>
      <c r="J85" s="103" t="str">
        <f t="shared" si="2"/>
        <v/>
      </c>
      <c r="K85" s="186">
        <v>10</v>
      </c>
      <c r="M85" s="439" t="s">
        <v>6</v>
      </c>
      <c r="N85" s="440" t="str">
        <f>'World Cup'!$N$42</f>
        <v/>
      </c>
      <c r="O85" s="237"/>
      <c r="P85" s="237"/>
      <c r="Q85" s="237"/>
      <c r="R85" s="237"/>
      <c r="S85" s="237"/>
      <c r="T85" s="237"/>
      <c r="U85" s="237"/>
      <c r="V85" s="237"/>
      <c r="W85" s="237"/>
      <c r="X85" s="237"/>
    </row>
    <row r="86" spans="2:24" x14ac:dyDescent="0.25">
      <c r="B86" s="180">
        <v>82</v>
      </c>
      <c r="C86" s="178" t="s">
        <v>92</v>
      </c>
      <c r="D86" s="179" t="str">
        <f>AssignThird!$H$4</f>
        <v>3-AEHIJ</v>
      </c>
      <c r="E86" s="160">
        <v>46204.666666666664</v>
      </c>
      <c r="F86" s="66">
        <f>$E86-VLOOKUP($G86,Zeitzone!$L$4:$O$19,4,0)+VLOOKUP(Zeitzone!$H$1,Zeitzone!$C$4:$E$40,3,0)</f>
        <v>46204.916666666664</v>
      </c>
      <c r="G86" s="173">
        <v>10</v>
      </c>
      <c r="H86" s="170" t="str">
        <f>VLOOKUP($G86,Sprache!$D$103:$E$118,2,0)</f>
        <v>Seattle</v>
      </c>
      <c r="I86" s="103" t="str">
        <f t="shared" si="1"/>
        <v/>
      </c>
      <c r="J86" s="103" t="str">
        <f t="shared" si="2"/>
        <v/>
      </c>
      <c r="K86" s="186">
        <v>9</v>
      </c>
      <c r="M86" s="439" t="s">
        <v>12</v>
      </c>
      <c r="N86" s="440" t="str">
        <f>'World Cup'!$N$43</f>
        <v/>
      </c>
      <c r="O86" s="237"/>
      <c r="P86" s="237"/>
      <c r="Q86" s="237"/>
      <c r="R86" s="237"/>
      <c r="S86" s="237"/>
      <c r="T86" s="237"/>
      <c r="U86" s="237"/>
      <c r="V86" s="237"/>
      <c r="W86" s="237"/>
      <c r="X86" s="237"/>
    </row>
    <row r="87" spans="2:24" x14ac:dyDescent="0.25">
      <c r="B87" s="180">
        <v>83</v>
      </c>
      <c r="C87" s="178" t="s">
        <v>835</v>
      </c>
      <c r="D87" s="179" t="s">
        <v>838</v>
      </c>
      <c r="E87" s="160">
        <v>46205.791666666664</v>
      </c>
      <c r="F87" s="66">
        <f>$E87-VLOOKUP($G87,Zeitzone!$L$4:$O$19,4,0)+VLOOKUP(Zeitzone!$H$1,Zeitzone!$C$4:$E$40,3,0)</f>
        <v>46206.041666666664</v>
      </c>
      <c r="G87" s="173">
        <v>2</v>
      </c>
      <c r="H87" s="170" t="str">
        <f>VLOOKUP($G87,Sprache!$D$103:$E$118,2,0)</f>
        <v>Toronto</v>
      </c>
      <c r="I87" s="103" t="str">
        <f t="shared" si="1"/>
        <v/>
      </c>
      <c r="J87" s="103" t="str">
        <f t="shared" si="2"/>
        <v/>
      </c>
      <c r="K87" s="186">
        <v>12</v>
      </c>
      <c r="M87" s="439" t="s">
        <v>7</v>
      </c>
      <c r="N87" s="440" t="str">
        <f>'World Cup'!$Q$42</f>
        <v/>
      </c>
      <c r="O87" s="237"/>
      <c r="P87" s="237"/>
      <c r="Q87" s="237"/>
      <c r="R87" s="237"/>
      <c r="S87" s="237"/>
      <c r="T87" s="237"/>
      <c r="U87" s="237"/>
      <c r="V87" s="237"/>
      <c r="W87" s="237"/>
      <c r="X87" s="237"/>
    </row>
    <row r="88" spans="2:24" x14ac:dyDescent="0.25">
      <c r="B88" s="180">
        <v>84</v>
      </c>
      <c r="C88" s="178" t="s">
        <v>95</v>
      </c>
      <c r="D88" s="179" t="s">
        <v>832</v>
      </c>
      <c r="E88" s="160">
        <v>46205.625</v>
      </c>
      <c r="F88" s="66">
        <f>$E88-VLOOKUP($G88,Zeitzone!$L$4:$O$19,4,0)+VLOOKUP(Zeitzone!$H$1,Zeitzone!$C$4:$E$40,3,0)</f>
        <v>46205.875</v>
      </c>
      <c r="G88" s="173">
        <v>8</v>
      </c>
      <c r="H88" s="170" t="str">
        <f>VLOOKUP($G88,Sprache!$D$103:$E$118,2,0)</f>
        <v>Los Angeles</v>
      </c>
      <c r="I88" s="103" t="str">
        <f t="shared" si="1"/>
        <v/>
      </c>
      <c r="J88" s="103" t="str">
        <f t="shared" si="2"/>
        <v/>
      </c>
      <c r="K88" s="186">
        <v>11</v>
      </c>
      <c r="M88" s="439" t="s">
        <v>13</v>
      </c>
      <c r="N88" s="440" t="str">
        <f>'World Cup'!$Q$43</f>
        <v/>
      </c>
      <c r="O88" s="237"/>
      <c r="P88" s="237"/>
      <c r="Q88" s="237"/>
      <c r="R88" s="237"/>
      <c r="S88" s="237"/>
      <c r="T88" s="237"/>
      <c r="U88" s="237"/>
      <c r="V88" s="237"/>
      <c r="W88" s="237"/>
      <c r="X88" s="237"/>
    </row>
    <row r="89" spans="2:24" x14ac:dyDescent="0.25">
      <c r="B89" s="180">
        <v>85</v>
      </c>
      <c r="C89" s="178" t="s">
        <v>3</v>
      </c>
      <c r="D89" s="179" t="str">
        <f>AssignThird!$E$4</f>
        <v>3-EFGIJ</v>
      </c>
      <c r="E89" s="160">
        <v>46205.958333333336</v>
      </c>
      <c r="F89" s="66">
        <f>$E89-VLOOKUP($G89,Zeitzone!$L$4:$O$19,4,0)+VLOOKUP(Zeitzone!$H$1,Zeitzone!$C$4:$E$40,3,0)</f>
        <v>46206.208333333336</v>
      </c>
      <c r="G89" s="173">
        <v>1</v>
      </c>
      <c r="H89" s="170" t="str">
        <f>VLOOKUP($G89,Sprache!$D$103:$E$118,2,0)</f>
        <v>Vancouver</v>
      </c>
      <c r="I89" s="103" t="str">
        <f t="shared" si="1"/>
        <v/>
      </c>
      <c r="J89" s="103" t="str">
        <f t="shared" si="2"/>
        <v/>
      </c>
      <c r="K89" s="186">
        <v>13</v>
      </c>
      <c r="M89" s="439" t="s">
        <v>92</v>
      </c>
      <c r="N89" s="440" t="str">
        <f>'World Cup'!$T$42</f>
        <v/>
      </c>
      <c r="O89" s="237"/>
      <c r="P89" s="237"/>
      <c r="Q89" s="237"/>
      <c r="R89" s="237"/>
      <c r="S89" s="237"/>
      <c r="T89" s="237"/>
      <c r="U89" s="237"/>
      <c r="V89" s="237"/>
      <c r="W89" s="237"/>
      <c r="X89" s="237"/>
    </row>
    <row r="90" spans="2:24" x14ac:dyDescent="0.25">
      <c r="B90" s="180">
        <v>86</v>
      </c>
      <c r="C90" s="178" t="s">
        <v>831</v>
      </c>
      <c r="D90" s="179" t="s">
        <v>96</v>
      </c>
      <c r="E90" s="160">
        <v>46206.75</v>
      </c>
      <c r="F90" s="66">
        <f>$E90-VLOOKUP($G90,Zeitzone!$L$4:$O$19,4,0)+VLOOKUP(Zeitzone!$H$1,Zeitzone!$C$4:$E$40,3,0)</f>
        <v>46207</v>
      </c>
      <c r="G90" s="173">
        <v>13</v>
      </c>
      <c r="H90" s="170" t="str">
        <f>VLOOKUP($G90,Sprache!$D$103:$E$118,2,0)</f>
        <v>Miami</v>
      </c>
      <c r="I90" s="103" t="str">
        <f t="shared" si="1"/>
        <v/>
      </c>
      <c r="J90" s="103" t="str">
        <f t="shared" si="2"/>
        <v/>
      </c>
      <c r="K90" s="186">
        <v>15</v>
      </c>
      <c r="M90" s="439" t="s">
        <v>93</v>
      </c>
      <c r="N90" s="440" t="str">
        <f>'World Cup'!$T$43</f>
        <v/>
      </c>
      <c r="O90" s="237"/>
      <c r="P90" s="237"/>
      <c r="Q90" s="237"/>
      <c r="R90" s="237"/>
      <c r="S90" s="237"/>
      <c r="T90" s="237"/>
      <c r="U90" s="237"/>
      <c r="V90" s="237"/>
      <c r="W90" s="237"/>
      <c r="X90" s="237"/>
    </row>
    <row r="91" spans="2:24" x14ac:dyDescent="0.25">
      <c r="B91" s="180">
        <v>87</v>
      </c>
      <c r="C91" s="178" t="s">
        <v>834</v>
      </c>
      <c r="D91" s="179" t="str">
        <f>AssignThird!$J$4</f>
        <v>3-DEIJL</v>
      </c>
      <c r="E91" s="160">
        <v>46206.895833333336</v>
      </c>
      <c r="F91" s="66">
        <f>$E91-VLOOKUP($G91,Zeitzone!$L$4:$O$19,4,0)+VLOOKUP(Zeitzone!$H$1,Zeitzone!$C$4:$E$40,3,0)</f>
        <v>46207.145833333336</v>
      </c>
      <c r="G91" s="173">
        <v>4</v>
      </c>
      <c r="H91" s="170" t="str">
        <f>VLOOKUP($G91,Sprache!$D$103:$E$118,2,0)</f>
        <v>Kansas City</v>
      </c>
      <c r="I91" s="103" t="str">
        <f t="shared" si="1"/>
        <v/>
      </c>
      <c r="J91" s="103" t="str">
        <f t="shared" si="2"/>
        <v/>
      </c>
      <c r="K91" s="186">
        <v>16</v>
      </c>
      <c r="M91" s="439" t="s">
        <v>95</v>
      </c>
      <c r="N91" s="440" t="str">
        <f>'World Cup'!$W$42</f>
        <v/>
      </c>
      <c r="O91" s="237"/>
      <c r="P91" s="237"/>
      <c r="Q91" s="237"/>
      <c r="R91" s="237"/>
      <c r="S91" s="237"/>
      <c r="T91" s="237"/>
      <c r="U91" s="237"/>
      <c r="V91" s="237"/>
      <c r="W91" s="237"/>
      <c r="X91" s="237"/>
    </row>
    <row r="92" spans="2:24" ht="15.75" thickBot="1" x14ac:dyDescent="0.3">
      <c r="B92" s="180">
        <v>88</v>
      </c>
      <c r="C92" s="178" t="s">
        <v>11</v>
      </c>
      <c r="D92" s="179" t="s">
        <v>93</v>
      </c>
      <c r="E92" s="160">
        <v>46206.583333333336</v>
      </c>
      <c r="F92" s="66">
        <f>$E92-VLOOKUP($G92,Zeitzone!$L$4:$O$19,4,0)+VLOOKUP(Zeitzone!$H$1,Zeitzone!$C$4:$E$40,3,0)</f>
        <v>46206.833333333336</v>
      </c>
      <c r="G92" s="173">
        <v>5</v>
      </c>
      <c r="H92" s="170" t="str">
        <f>VLOOKUP($G92,Sprache!$D$103:$E$118,2,0)</f>
        <v>Dallas</v>
      </c>
      <c r="I92" s="103" t="str">
        <f t="shared" si="1"/>
        <v/>
      </c>
      <c r="J92" s="103" t="str">
        <f t="shared" si="2"/>
        <v/>
      </c>
      <c r="K92" s="186">
        <v>14</v>
      </c>
      <c r="M92" s="441" t="s">
        <v>96</v>
      </c>
      <c r="N92" s="442" t="str">
        <f>'World Cup'!$W$43</f>
        <v/>
      </c>
      <c r="O92" s="237"/>
      <c r="P92" s="237"/>
      <c r="Q92" s="237"/>
      <c r="R92" s="237"/>
      <c r="S92" s="237"/>
      <c r="T92" s="237"/>
      <c r="U92" s="237"/>
      <c r="V92" s="237"/>
      <c r="W92" s="237"/>
      <c r="X92" s="237"/>
    </row>
    <row r="93" spans="2:24" x14ac:dyDescent="0.25">
      <c r="B93" s="67" t="s">
        <v>542</v>
      </c>
      <c r="C93" s="84"/>
      <c r="D93" s="84"/>
      <c r="E93" s="49"/>
      <c r="F93" s="50"/>
      <c r="G93" s="169"/>
      <c r="H93" s="50"/>
      <c r="I93" s="50"/>
      <c r="J93" s="50"/>
      <c r="K93" s="96"/>
      <c r="M93" s="437" t="s">
        <v>828</v>
      </c>
      <c r="N93" s="438" t="str">
        <f>'World Cup'!$Z$42</f>
        <v/>
      </c>
    </row>
    <row r="94" spans="2:24" x14ac:dyDescent="0.25">
      <c r="B94" s="180">
        <v>89</v>
      </c>
      <c r="C94" s="178" t="s">
        <v>857</v>
      </c>
      <c r="D94" s="179" t="s">
        <v>860</v>
      </c>
      <c r="E94" s="160">
        <v>46207.708333333336</v>
      </c>
      <c r="F94" s="66">
        <f>$E94-VLOOKUP($G94,Zeitzone!$L$4:$O$19,4,0)+VLOOKUP(Zeitzone!$H$1,Zeitzone!$C$4:$E$40,3,0)</f>
        <v>46207.958333333336</v>
      </c>
      <c r="G94" s="173">
        <v>9</v>
      </c>
      <c r="H94" s="170" t="str">
        <f>VLOOKUP($G94,Sprache!$D$103:$E$118,2,0)</f>
        <v>Philadelphia</v>
      </c>
      <c r="I94" s="246"/>
      <c r="J94" s="246"/>
      <c r="K94" s="186">
        <v>2</v>
      </c>
      <c r="L94" s="47"/>
      <c r="M94" s="439" t="s">
        <v>829</v>
      </c>
      <c r="N94" s="440" t="str">
        <f>'World Cup'!$Z$43</f>
        <v/>
      </c>
    </row>
    <row r="95" spans="2:24" x14ac:dyDescent="0.25">
      <c r="B95" s="180">
        <v>90</v>
      </c>
      <c r="C95" s="178" t="s">
        <v>856</v>
      </c>
      <c r="D95" s="179" t="s">
        <v>858</v>
      </c>
      <c r="E95" s="160">
        <v>46207.541666666664</v>
      </c>
      <c r="F95" s="66">
        <f>$E95-VLOOKUP($G95,Zeitzone!$L$4:$O$19,4,0)+VLOOKUP(Zeitzone!$H$1,Zeitzone!$C$4:$E$40,3,0)</f>
        <v>46207.791666666664</v>
      </c>
      <c r="G95" s="173">
        <v>6</v>
      </c>
      <c r="H95" s="170" t="str">
        <f>VLOOKUP($G95,Sprache!$D$103:$E$118,2,0)</f>
        <v>Houston</v>
      </c>
      <c r="I95" s="247"/>
      <c r="J95" s="247"/>
      <c r="K95" s="186">
        <v>1</v>
      </c>
      <c r="L95" s="47"/>
      <c r="M95" s="439" t="s">
        <v>831</v>
      </c>
      <c r="N95" s="440" t="str">
        <f>'World Cup'!$AC$42</f>
        <v/>
      </c>
    </row>
    <row r="96" spans="2:24" x14ac:dyDescent="0.25">
      <c r="B96" s="180">
        <v>91</v>
      </c>
      <c r="C96" s="178" t="s">
        <v>859</v>
      </c>
      <c r="D96" s="179" t="s">
        <v>861</v>
      </c>
      <c r="E96" s="160">
        <v>46208.666666666664</v>
      </c>
      <c r="F96" s="66">
        <f>$E96-VLOOKUP($G96,Zeitzone!$L$4:$O$19,4,0)+VLOOKUP(Zeitzone!$H$1,Zeitzone!$C$4:$E$40,3,0)</f>
        <v>46208.916666666664</v>
      </c>
      <c r="G96" s="173">
        <v>3</v>
      </c>
      <c r="H96" s="170" t="str">
        <f>VLOOKUP($G96,Sprache!$D$103:$E$118,2,0)</f>
        <v>New York/New Jersey</v>
      </c>
      <c r="I96" s="247"/>
      <c r="J96" s="247"/>
      <c r="K96" s="186">
        <v>3</v>
      </c>
      <c r="L96" s="47"/>
      <c r="M96" s="439" t="s">
        <v>832</v>
      </c>
      <c r="N96" s="440" t="str">
        <f>'World Cup'!$AC$43</f>
        <v/>
      </c>
    </row>
    <row r="97" spans="2:25" x14ac:dyDescent="0.25">
      <c r="B97" s="180">
        <v>92</v>
      </c>
      <c r="C97" s="178" t="s">
        <v>1030</v>
      </c>
      <c r="D97" s="179" t="s">
        <v>1035</v>
      </c>
      <c r="E97" s="160">
        <v>46208.833333333336</v>
      </c>
      <c r="F97" s="66">
        <f>$E97-VLOOKUP($G97,Zeitzone!$L$4:$O$19,4,0)+VLOOKUP(Zeitzone!$H$1,Zeitzone!$C$4:$E$40,3,0)</f>
        <v>46209.083333333336</v>
      </c>
      <c r="G97" s="171">
        <v>14</v>
      </c>
      <c r="H97" s="170" t="str">
        <f>VLOOKUP($G97,Sprache!$D$103:$E$118,2,0)</f>
        <v>Mexico City</v>
      </c>
      <c r="I97" s="247"/>
      <c r="J97" s="247"/>
      <c r="K97" s="186">
        <v>4</v>
      </c>
      <c r="L97" s="47"/>
      <c r="M97" s="439" t="s">
        <v>834</v>
      </c>
      <c r="N97" s="440" t="str">
        <f>'World Cup'!$AF$42</f>
        <v/>
      </c>
    </row>
    <row r="98" spans="2:25" x14ac:dyDescent="0.25">
      <c r="B98" s="180">
        <v>93</v>
      </c>
      <c r="C98" s="178" t="s">
        <v>1032</v>
      </c>
      <c r="D98" s="179" t="s">
        <v>1037</v>
      </c>
      <c r="E98" s="160">
        <v>46209.625</v>
      </c>
      <c r="F98" s="66">
        <f>$E98-VLOOKUP($G98,Zeitzone!$L$4:$O$19,4,0)+VLOOKUP(Zeitzone!$H$1,Zeitzone!$C$4:$E$40,3,0)</f>
        <v>46209.875</v>
      </c>
      <c r="G98" s="173">
        <v>5</v>
      </c>
      <c r="H98" s="170" t="str">
        <f>VLOOKUP($G98,Sprache!$D$103:$E$118,2,0)</f>
        <v>Dallas</v>
      </c>
      <c r="I98" s="247"/>
      <c r="J98" s="247"/>
      <c r="K98" s="186">
        <v>5</v>
      </c>
      <c r="L98" s="47"/>
      <c r="M98" s="439" t="s">
        <v>835</v>
      </c>
      <c r="N98" s="440" t="str">
        <f>'World Cup'!$AF$43</f>
        <v/>
      </c>
    </row>
    <row r="99" spans="2:25" x14ac:dyDescent="0.25">
      <c r="B99" s="180">
        <v>94</v>
      </c>
      <c r="C99" s="178" t="s">
        <v>1031</v>
      </c>
      <c r="D99" s="179" t="s">
        <v>1036</v>
      </c>
      <c r="E99" s="160">
        <v>46209.833333333336</v>
      </c>
      <c r="F99" s="66">
        <f>$E99-VLOOKUP($G99,Zeitzone!$L$4:$O$19,4,0)+VLOOKUP(Zeitzone!$H$1,Zeitzone!$C$4:$E$40,3,0)</f>
        <v>46210.083333333336</v>
      </c>
      <c r="G99" s="173">
        <v>10</v>
      </c>
      <c r="H99" s="170" t="str">
        <f>VLOOKUP($G99,Sprache!$D$103:$E$118,2,0)</f>
        <v>Seattle</v>
      </c>
      <c r="I99" s="247"/>
      <c r="J99" s="247"/>
      <c r="K99" s="186">
        <v>6</v>
      </c>
      <c r="L99" s="47"/>
      <c r="M99" s="439" t="s">
        <v>837</v>
      </c>
      <c r="N99" s="440" t="str">
        <f>'World Cup'!$AI$42</f>
        <v/>
      </c>
    </row>
    <row r="100" spans="2:25" x14ac:dyDescent="0.25">
      <c r="B100" s="180">
        <v>95</v>
      </c>
      <c r="C100" s="178" t="s">
        <v>1038</v>
      </c>
      <c r="D100" s="179" t="s">
        <v>1039</v>
      </c>
      <c r="E100" s="160">
        <v>46210.5</v>
      </c>
      <c r="F100" s="66">
        <f>$E100-VLOOKUP($G100,Zeitzone!$L$4:$O$19,4,0)+VLOOKUP(Zeitzone!$H$1,Zeitzone!$C$4:$E$40,3,0)</f>
        <v>46210.75</v>
      </c>
      <c r="G100" s="173">
        <v>7</v>
      </c>
      <c r="H100" s="170" t="str">
        <f>VLOOKUP($G100,Sprache!$D$103:$E$118,2,0)</f>
        <v>Atlanta</v>
      </c>
      <c r="I100" s="247"/>
      <c r="J100" s="247"/>
      <c r="K100" s="186">
        <v>7</v>
      </c>
      <c r="L100" s="47"/>
      <c r="M100" s="439" t="s">
        <v>838</v>
      </c>
      <c r="N100" s="440" t="str">
        <f>'World Cup'!$AI$43</f>
        <v/>
      </c>
    </row>
    <row r="101" spans="2:25" x14ac:dyDescent="0.25">
      <c r="B101" s="180">
        <v>96</v>
      </c>
      <c r="C101" s="178" t="s">
        <v>1033</v>
      </c>
      <c r="D101" s="179" t="s">
        <v>1034</v>
      </c>
      <c r="E101" s="160">
        <v>46210.666666666664</v>
      </c>
      <c r="F101" s="66">
        <f>$E101-VLOOKUP($G101,Zeitzone!$L$4:$O$19,4,0)+VLOOKUP(Zeitzone!$H$1,Zeitzone!$C$4:$E$40,3,0)</f>
        <v>46210.916666666664</v>
      </c>
      <c r="G101" s="172">
        <v>1</v>
      </c>
      <c r="H101" s="170" t="str">
        <f>VLOOKUP($G101,Sprache!$D$103:$E$118,2,0)</f>
        <v>Vancouver</v>
      </c>
      <c r="I101" s="248"/>
      <c r="J101" s="248"/>
      <c r="K101" s="186">
        <v>8</v>
      </c>
      <c r="L101" s="47"/>
      <c r="M101" s="439" t="str">
        <f>AssignThird!$D$4</f>
        <v>3-CEFHI</v>
      </c>
      <c r="N101" s="440" t="str">
        <f>IF(L69,N69,"")</f>
        <v/>
      </c>
    </row>
    <row r="102" spans="2:25" x14ac:dyDescent="0.25">
      <c r="B102" s="67" t="s">
        <v>132</v>
      </c>
      <c r="C102" s="84"/>
      <c r="D102" s="84"/>
      <c r="E102" s="49"/>
      <c r="F102" s="50"/>
      <c r="G102" s="169"/>
      <c r="H102" s="50"/>
      <c r="I102" s="50"/>
      <c r="J102" s="50"/>
      <c r="K102" s="97"/>
      <c r="M102" s="439" t="str">
        <f>AssignThird!$E$4</f>
        <v>3-EFGIJ</v>
      </c>
      <c r="N102" s="440" t="str">
        <f t="shared" ref="N102:N108" si="3">IF(L70,N70,"")</f>
        <v/>
      </c>
    </row>
    <row r="103" spans="2:25" x14ac:dyDescent="0.25">
      <c r="B103" s="180">
        <v>97</v>
      </c>
      <c r="C103" s="178" t="s">
        <v>1040</v>
      </c>
      <c r="D103" s="179" t="s">
        <v>1044</v>
      </c>
      <c r="E103" s="160">
        <v>46212.666666666664</v>
      </c>
      <c r="F103" s="66">
        <f>$E103-VLOOKUP($G103,Zeitzone!$L$4:$O$19,4,0)+VLOOKUP(Zeitzone!$H$1,Zeitzone!$C$4:$E$40,3,0)</f>
        <v>46212.916666666664</v>
      </c>
      <c r="G103" s="173">
        <v>12</v>
      </c>
      <c r="H103" s="170" t="str">
        <f>VLOOKUP($G103,Sprache!$D$103:$E$118,2,0)</f>
        <v>Boston</v>
      </c>
      <c r="I103" s="48"/>
      <c r="J103" s="48"/>
      <c r="K103" s="186">
        <v>1</v>
      </c>
      <c r="M103" s="439" t="str">
        <f>AssignThird!$F$4</f>
        <v>3-BEFIJ</v>
      </c>
      <c r="N103" s="440" t="str">
        <f t="shared" si="3"/>
        <v/>
      </c>
    </row>
    <row r="104" spans="2:25" x14ac:dyDescent="0.25">
      <c r="B104" s="180">
        <v>98</v>
      </c>
      <c r="C104" s="178" t="s">
        <v>1042</v>
      </c>
      <c r="D104" s="179" t="s">
        <v>1046</v>
      </c>
      <c r="E104" s="160">
        <v>46213.625</v>
      </c>
      <c r="F104" s="66">
        <f>$E104-VLOOKUP($G104,Zeitzone!$L$4:$O$19,4,0)+VLOOKUP(Zeitzone!$H$1,Zeitzone!$C$4:$E$40,3,0)</f>
        <v>46213.875</v>
      </c>
      <c r="G104" s="173">
        <v>8</v>
      </c>
      <c r="H104" s="170" t="str">
        <f>VLOOKUP($G104,Sprache!$D$103:$E$118,2,0)</f>
        <v>Los Angeles</v>
      </c>
      <c r="I104" s="47"/>
      <c r="J104" s="48"/>
      <c r="K104" s="186">
        <v>2</v>
      </c>
      <c r="M104" s="439" t="str">
        <f>AssignThird!$G$4</f>
        <v>3-ABCDF</v>
      </c>
      <c r="N104" s="440" t="str">
        <f t="shared" si="3"/>
        <v/>
      </c>
    </row>
    <row r="105" spans="2:25" x14ac:dyDescent="0.25">
      <c r="B105" s="180">
        <v>99</v>
      </c>
      <c r="C105" s="178" t="s">
        <v>1041</v>
      </c>
      <c r="D105" s="179" t="s">
        <v>1045</v>
      </c>
      <c r="E105" s="160">
        <v>46214.708333333336</v>
      </c>
      <c r="F105" s="66">
        <f>$E105-VLOOKUP($G105,Zeitzone!$L$4:$O$19,4,0)+VLOOKUP(Zeitzone!$H$1,Zeitzone!$C$4:$E$40,3,0)</f>
        <v>46214.958333333336</v>
      </c>
      <c r="G105" s="173">
        <v>13</v>
      </c>
      <c r="H105" s="170" t="str">
        <f>VLOOKUP($G105,Sprache!$D$103:$E$118,2,0)</f>
        <v>Miami</v>
      </c>
      <c r="I105" s="48"/>
      <c r="J105" s="48"/>
      <c r="K105" s="186">
        <v>3</v>
      </c>
      <c r="M105" s="439" t="str">
        <f>AssignThird!$H$4</f>
        <v>3-AEHIJ</v>
      </c>
      <c r="N105" s="440" t="str">
        <f t="shared" si="3"/>
        <v/>
      </c>
    </row>
    <row r="106" spans="2:25" x14ac:dyDescent="0.25">
      <c r="B106" s="180">
        <v>100</v>
      </c>
      <c r="C106" s="178" t="s">
        <v>1043</v>
      </c>
      <c r="D106" s="179" t="s">
        <v>1047</v>
      </c>
      <c r="E106" s="160">
        <v>46214.875</v>
      </c>
      <c r="F106" s="66">
        <f>$E106-VLOOKUP($G106,Zeitzone!$L$4:$O$19,4,0)+VLOOKUP(Zeitzone!$H$1,Zeitzone!$C$4:$E$40,3,0)</f>
        <v>46215.125</v>
      </c>
      <c r="G106" s="173">
        <v>4</v>
      </c>
      <c r="H106" s="170" t="str">
        <f>VLOOKUP($G106,Sprache!$D$103:$E$118,2,0)</f>
        <v>Kansas City</v>
      </c>
      <c r="I106" s="48"/>
      <c r="J106" s="48"/>
      <c r="K106" s="186">
        <v>4</v>
      </c>
      <c r="M106" s="439" t="str">
        <f>AssignThird!$I$4</f>
        <v>3-CDFGH</v>
      </c>
      <c r="N106" s="440" t="str">
        <f t="shared" si="3"/>
        <v/>
      </c>
      <c r="Q106" s="88"/>
      <c r="R106" s="88"/>
      <c r="S106" s="88"/>
      <c r="T106" s="88"/>
      <c r="U106" s="88"/>
      <c r="V106" s="88"/>
      <c r="W106" s="88"/>
      <c r="X106" s="88"/>
      <c r="Y106" s="88"/>
    </row>
    <row r="107" spans="2:25" x14ac:dyDescent="0.25">
      <c r="B107" s="67" t="s">
        <v>133</v>
      </c>
      <c r="C107" s="84"/>
      <c r="D107" s="84"/>
      <c r="E107" s="49"/>
      <c r="F107" s="50"/>
      <c r="G107" s="169"/>
      <c r="H107" s="50"/>
      <c r="I107" s="50"/>
      <c r="J107" s="50"/>
      <c r="K107" s="97"/>
      <c r="M107" s="439" t="str">
        <f>AssignThird!$J$4</f>
        <v>3-DEIJL</v>
      </c>
      <c r="N107" s="440" t="str">
        <f t="shared" si="3"/>
        <v/>
      </c>
      <c r="Q107" s="88"/>
      <c r="R107" s="88"/>
      <c r="S107" s="88"/>
      <c r="T107" s="88"/>
      <c r="U107" s="88"/>
      <c r="V107" s="88"/>
      <c r="W107" s="88"/>
      <c r="X107" s="88"/>
      <c r="Y107" s="88"/>
    </row>
    <row r="108" spans="2:25" ht="15.75" thickBot="1" x14ac:dyDescent="0.3">
      <c r="B108" s="180">
        <v>101</v>
      </c>
      <c r="C108" s="178" t="s">
        <v>1048</v>
      </c>
      <c r="D108" s="179" t="s">
        <v>1049</v>
      </c>
      <c r="E108" s="160">
        <v>46217.625</v>
      </c>
      <c r="F108" s="66">
        <f>$E108-VLOOKUP($G108,Zeitzone!$L$4:$O$19,4,0)+VLOOKUP(Zeitzone!$H$1,Zeitzone!$C$4:$E$40,3,0)</f>
        <v>46217.875</v>
      </c>
      <c r="G108" s="173">
        <v>5</v>
      </c>
      <c r="H108" s="170" t="str">
        <f>VLOOKUP($G108,Sprache!$D$103:$E$118,2,0)</f>
        <v>Dallas</v>
      </c>
      <c r="I108" s="48"/>
      <c r="J108" s="48"/>
      <c r="K108" s="161" t="str">
        <f>Sprache!$E$170</f>
        <v>Halbfinale 1</v>
      </c>
      <c r="M108" s="441" t="str">
        <f>AssignThird!$K$4</f>
        <v>3-EHIJK</v>
      </c>
      <c r="N108" s="442" t="str">
        <f t="shared" si="3"/>
        <v/>
      </c>
      <c r="P108" s="88"/>
      <c r="Q108" s="88"/>
      <c r="R108" s="88"/>
      <c r="S108" s="88"/>
      <c r="T108" s="88"/>
      <c r="U108" s="88"/>
      <c r="V108" s="88"/>
      <c r="W108" s="88"/>
      <c r="X108" s="88"/>
      <c r="Y108" s="88"/>
    </row>
    <row r="109" spans="2:25" x14ac:dyDescent="0.25">
      <c r="B109" s="180">
        <v>102</v>
      </c>
      <c r="C109" s="178" t="s">
        <v>1050</v>
      </c>
      <c r="D109" s="179" t="s">
        <v>1051</v>
      </c>
      <c r="E109" s="160">
        <v>46218.625</v>
      </c>
      <c r="F109" s="66">
        <f>$E109-VLOOKUP($G109,Zeitzone!$L$4:$O$19,4,0)+VLOOKUP(Zeitzone!$H$1,Zeitzone!$C$4:$E$40,3,0)</f>
        <v>46218.875</v>
      </c>
      <c r="G109" s="173">
        <v>7</v>
      </c>
      <c r="H109" s="170" t="str">
        <f>VLOOKUP($G109,Sprache!$D$103:$E$118,2,0)</f>
        <v>Atlanta</v>
      </c>
      <c r="I109" s="48"/>
      <c r="J109" s="48"/>
      <c r="K109" s="161" t="str">
        <f>Sprache!$E$171</f>
        <v>Halbfinale 2</v>
      </c>
      <c r="P109" s="88"/>
      <c r="Q109" s="88"/>
      <c r="R109" s="88"/>
      <c r="S109" s="88"/>
      <c r="T109" s="88"/>
      <c r="U109" s="88"/>
      <c r="V109" s="88"/>
      <c r="W109" s="88"/>
      <c r="X109" s="88"/>
      <c r="Y109" s="89"/>
    </row>
    <row r="110" spans="2:25" x14ac:dyDescent="0.25">
      <c r="B110" s="67" t="s">
        <v>98</v>
      </c>
      <c r="C110" s="84"/>
      <c r="D110" s="84"/>
      <c r="E110" s="49"/>
      <c r="F110" s="50"/>
      <c r="G110" s="169"/>
      <c r="H110" s="50"/>
      <c r="I110" s="50"/>
      <c r="J110" s="50"/>
      <c r="K110" s="97"/>
      <c r="M110" s="111"/>
      <c r="N110" s="34"/>
      <c r="O110" s="88"/>
      <c r="P110" s="88"/>
      <c r="Q110" s="88"/>
      <c r="R110" s="88"/>
      <c r="S110" s="88"/>
      <c r="T110" s="88"/>
      <c r="U110" s="88"/>
      <c r="V110" s="88"/>
      <c r="W110" s="88"/>
      <c r="X110" s="88"/>
      <c r="Y110" s="89"/>
    </row>
    <row r="111" spans="2:25" x14ac:dyDescent="0.25">
      <c r="B111" s="180">
        <v>103</v>
      </c>
      <c r="C111" s="178" t="s">
        <v>1052</v>
      </c>
      <c r="D111" s="179" t="s">
        <v>1053</v>
      </c>
      <c r="E111" s="160">
        <v>46221.708333333336</v>
      </c>
      <c r="F111" s="66">
        <f>$E111-VLOOKUP($G111,Zeitzone!$L$4:$O$19,4,0)+VLOOKUP(Zeitzone!$H$1,Zeitzone!$C$4:$E$40,3,0)</f>
        <v>46221.958333333336</v>
      </c>
      <c r="G111" s="173">
        <v>13</v>
      </c>
      <c r="H111" s="170" t="str">
        <f>VLOOKUP($G111,Sprache!$D$103:$E$118,2,0)</f>
        <v>Miami</v>
      </c>
      <c r="I111" s="48"/>
      <c r="J111" s="48"/>
      <c r="K111" s="104" t="str">
        <f>Sprache!$E$172</f>
        <v>Dritter Platz</v>
      </c>
      <c r="M111" s="111"/>
      <c r="N111" s="111"/>
    </row>
    <row r="112" spans="2:25" x14ac:dyDescent="0.25">
      <c r="B112" s="67" t="s">
        <v>55</v>
      </c>
      <c r="C112" s="84"/>
      <c r="D112" s="84"/>
      <c r="E112" s="49"/>
      <c r="F112" s="50"/>
      <c r="G112" s="169"/>
      <c r="H112" s="50"/>
      <c r="I112" s="50"/>
      <c r="J112" s="50"/>
      <c r="K112" s="97"/>
      <c r="M112" s="111"/>
      <c r="N112" s="111"/>
    </row>
    <row r="113" spans="2:14" ht="15.75" thickBot="1" x14ac:dyDescent="0.3">
      <c r="B113" s="181">
        <v>104</v>
      </c>
      <c r="C113" s="492" t="s">
        <v>1054</v>
      </c>
      <c r="D113" s="493" t="s">
        <v>1055</v>
      </c>
      <c r="E113" s="494">
        <v>46222.625</v>
      </c>
      <c r="F113" s="495">
        <f>$E113-VLOOKUP($G113,Zeitzone!$L$4:$O$19,4,0)+VLOOKUP(Zeitzone!$H$1,Zeitzone!$C$4:$E$40,3,0)</f>
        <v>46222.875</v>
      </c>
      <c r="G113" s="496">
        <v>3</v>
      </c>
      <c r="H113" s="497" t="str">
        <f>VLOOKUP($G113,Sprache!$D$103:$E$118,2,0)</f>
        <v>New York/New Jersey</v>
      </c>
      <c r="I113" s="498"/>
      <c r="J113" s="499"/>
      <c r="K113" s="500" t="str">
        <f>Sprache!$E$173</f>
        <v>Finale</v>
      </c>
      <c r="M113" s="111"/>
      <c r="N113" s="111"/>
    </row>
    <row r="114" spans="2:14" ht="15.75" thickTop="1" x14ac:dyDescent="0.25"/>
    <row r="115" spans="2:14" x14ac:dyDescent="0.25"/>
    <row r="116" spans="2:14" x14ac:dyDescent="0.25"/>
    <row r="117" spans="2:14"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DD92-6BF0-4AB3-BBAC-97864765D83C}">
  <sheetPr codeName="Tabelle29">
    <pageSetUpPr fitToPage="1"/>
  </sheetPr>
  <dimension ref="A1:M504"/>
  <sheetViews>
    <sheetView showGridLines="0" showRowColHeaders="0" workbookViewId="0">
      <selection activeCell="N1" sqref="N1:XFD1048576"/>
    </sheetView>
  </sheetViews>
  <sheetFormatPr baseColWidth="10" defaultColWidth="0" defaultRowHeight="15" zeroHeight="1" x14ac:dyDescent="0.25"/>
  <cols>
    <col min="1" max="1" width="5.7109375" customWidth="1"/>
    <col min="2" max="2" width="11.42578125" customWidth="1"/>
    <col min="3" max="3" width="20" customWidth="1"/>
    <col min="4" max="12" width="11.42578125" customWidth="1"/>
    <col min="13" max="13" width="5" customWidth="1"/>
    <col min="14" max="16384" width="11.42578125" hidden="1"/>
  </cols>
  <sheetData>
    <row r="1" spans="1:11" x14ac:dyDescent="0.25">
      <c r="A1" s="4"/>
    </row>
    <row r="2" spans="1:11" ht="28.5" x14ac:dyDescent="0.45">
      <c r="B2" s="298"/>
      <c r="C2" s="771" t="str">
        <f>Sprache!$E$128</f>
        <v>Zuordnung der Gruppendritten im Sechzehntelfinale</v>
      </c>
      <c r="D2" s="771"/>
      <c r="E2" s="771"/>
      <c r="F2" s="771"/>
      <c r="G2" s="771"/>
      <c r="H2" s="771"/>
      <c r="I2" s="771"/>
      <c r="J2" s="771"/>
      <c r="K2" s="771"/>
    </row>
    <row r="3" spans="1:11" ht="23.25" customHeight="1" x14ac:dyDescent="0.25">
      <c r="C3" s="775" t="s">
        <v>1695</v>
      </c>
      <c r="D3" s="775"/>
      <c r="E3" s="775"/>
      <c r="F3" s="775"/>
      <c r="G3" s="775"/>
      <c r="H3" s="775"/>
      <c r="I3" s="775"/>
      <c r="J3" s="775"/>
      <c r="K3" s="775"/>
    </row>
    <row r="4" spans="1:11" ht="16.5" thickBot="1" x14ac:dyDescent="0.3">
      <c r="C4" s="283"/>
      <c r="D4" s="299" t="s">
        <v>1678</v>
      </c>
      <c r="E4" s="299" t="s">
        <v>1681</v>
      </c>
      <c r="F4" s="299" t="s">
        <v>1679</v>
      </c>
      <c r="G4" s="299" t="s">
        <v>1674</v>
      </c>
      <c r="H4" s="299" t="s">
        <v>1680</v>
      </c>
      <c r="I4" s="299" t="s">
        <v>1675</v>
      </c>
      <c r="J4" s="299" t="s">
        <v>1677</v>
      </c>
      <c r="K4" s="299" t="s">
        <v>1676</v>
      </c>
    </row>
    <row r="5" spans="1:11" ht="32.25" thickTop="1" x14ac:dyDescent="0.25">
      <c r="C5" s="772" t="str">
        <f>Sprache!$E$177</f>
        <v>Gruppen-kombination:</v>
      </c>
      <c r="D5" s="284" t="str">
        <f>Sprache!$E$178</f>
        <v>Erster der Gruppe</v>
      </c>
      <c r="E5" s="285" t="str">
        <f>Sprache!$E$178</f>
        <v>Erster der Gruppe</v>
      </c>
      <c r="F5" s="285" t="str">
        <f>Sprache!$E$178</f>
        <v>Erster der Gruppe</v>
      </c>
      <c r="G5" s="285" t="str">
        <f>Sprache!$E$178</f>
        <v>Erster der Gruppe</v>
      </c>
      <c r="H5" s="285" t="str">
        <f>Sprache!$E$178</f>
        <v>Erster der Gruppe</v>
      </c>
      <c r="I5" s="285" t="str">
        <f>Sprache!$E$178</f>
        <v>Erster der Gruppe</v>
      </c>
      <c r="J5" s="285" t="str">
        <f>Sprache!$E$178</f>
        <v>Erster der Gruppe</v>
      </c>
      <c r="K5" s="286" t="str">
        <f>Sprache!$E$178</f>
        <v>Erster der Gruppe</v>
      </c>
    </row>
    <row r="6" spans="1:11" ht="15.75" x14ac:dyDescent="0.25">
      <c r="C6" s="773"/>
      <c r="D6" s="287" t="s">
        <v>24</v>
      </c>
      <c r="E6" s="288" t="s">
        <v>20</v>
      </c>
      <c r="F6" s="288" t="s">
        <v>25</v>
      </c>
      <c r="G6" s="288" t="s">
        <v>22</v>
      </c>
      <c r="H6" s="288" t="s">
        <v>270</v>
      </c>
      <c r="I6" s="288" t="s">
        <v>32</v>
      </c>
      <c r="J6" s="288" t="s">
        <v>33</v>
      </c>
      <c r="K6" s="289" t="s">
        <v>34</v>
      </c>
    </row>
    <row r="7" spans="1:11" ht="63.75" thickBot="1" x14ac:dyDescent="0.3">
      <c r="C7" s="774"/>
      <c r="D7" s="290" t="str">
        <f>Sprache!$E$179</f>
        <v>gegen Dritten der Gruppe</v>
      </c>
      <c r="E7" s="291" t="str">
        <f>Sprache!$E$179</f>
        <v>gegen Dritten der Gruppe</v>
      </c>
      <c r="F7" s="291" t="str">
        <f>Sprache!$E$179</f>
        <v>gegen Dritten der Gruppe</v>
      </c>
      <c r="G7" s="291" t="str">
        <f>Sprache!$E$179</f>
        <v>gegen Dritten der Gruppe</v>
      </c>
      <c r="H7" s="291" t="str">
        <f>Sprache!$E$179</f>
        <v>gegen Dritten der Gruppe</v>
      </c>
      <c r="I7" s="291" t="str">
        <f>Sprache!$E$179</f>
        <v>gegen Dritten der Gruppe</v>
      </c>
      <c r="J7" s="291" t="str">
        <f>Sprache!$E$179</f>
        <v>gegen Dritten der Gruppe</v>
      </c>
      <c r="K7" s="292" t="str">
        <f>Sprache!$E$179</f>
        <v>gegen Dritten der Gruppe</v>
      </c>
    </row>
    <row r="8" spans="1:11" ht="15.75" x14ac:dyDescent="0.25">
      <c r="C8" s="300" t="s">
        <v>1594</v>
      </c>
      <c r="D8" s="302" t="s">
        <v>22</v>
      </c>
      <c r="E8" s="303" t="s">
        <v>814</v>
      </c>
      <c r="F8" s="303" t="s">
        <v>32</v>
      </c>
      <c r="G8" s="303" t="s">
        <v>23</v>
      </c>
      <c r="H8" s="304" t="s">
        <v>31</v>
      </c>
      <c r="I8" s="304" t="s">
        <v>270</v>
      </c>
      <c r="J8" s="304" t="s">
        <v>34</v>
      </c>
      <c r="K8" s="305" t="s">
        <v>33</v>
      </c>
    </row>
    <row r="9" spans="1:11" ht="15.75" x14ac:dyDescent="0.25">
      <c r="C9" s="300" t="s">
        <v>1593</v>
      </c>
      <c r="D9" s="302" t="s">
        <v>31</v>
      </c>
      <c r="E9" s="303" t="s">
        <v>270</v>
      </c>
      <c r="F9" s="303" t="s">
        <v>32</v>
      </c>
      <c r="G9" s="303" t="s">
        <v>25</v>
      </c>
      <c r="H9" s="306" t="s">
        <v>814</v>
      </c>
      <c r="I9" s="306" t="s">
        <v>23</v>
      </c>
      <c r="J9" s="306" t="s">
        <v>34</v>
      </c>
      <c r="K9" s="307" t="s">
        <v>33</v>
      </c>
    </row>
    <row r="10" spans="1:11" ht="15.75" x14ac:dyDescent="0.25">
      <c r="C10" s="300" t="s">
        <v>1592</v>
      </c>
      <c r="D10" s="302" t="s">
        <v>22</v>
      </c>
      <c r="E10" s="303" t="s">
        <v>814</v>
      </c>
      <c r="F10" s="303" t="s">
        <v>32</v>
      </c>
      <c r="G10" s="303" t="s">
        <v>25</v>
      </c>
      <c r="H10" s="306" t="s">
        <v>31</v>
      </c>
      <c r="I10" s="306" t="s">
        <v>270</v>
      </c>
      <c r="J10" s="306" t="s">
        <v>34</v>
      </c>
      <c r="K10" s="307" t="s">
        <v>33</v>
      </c>
    </row>
    <row r="11" spans="1:11" ht="15.75" x14ac:dyDescent="0.25">
      <c r="C11" s="300" t="s">
        <v>1591</v>
      </c>
      <c r="D11" s="302" t="s">
        <v>22</v>
      </c>
      <c r="E11" s="303" t="s">
        <v>814</v>
      </c>
      <c r="F11" s="303" t="s">
        <v>32</v>
      </c>
      <c r="G11" s="303" t="s">
        <v>25</v>
      </c>
      <c r="H11" s="306" t="s">
        <v>31</v>
      </c>
      <c r="I11" s="306" t="s">
        <v>23</v>
      </c>
      <c r="J11" s="306" t="s">
        <v>34</v>
      </c>
      <c r="K11" s="307" t="s">
        <v>33</v>
      </c>
    </row>
    <row r="12" spans="1:11" ht="15.75" x14ac:dyDescent="0.25">
      <c r="C12" s="300" t="s">
        <v>1590</v>
      </c>
      <c r="D12" s="302" t="s">
        <v>22</v>
      </c>
      <c r="E12" s="303" t="s">
        <v>270</v>
      </c>
      <c r="F12" s="303" t="s">
        <v>32</v>
      </c>
      <c r="G12" s="303" t="s">
        <v>25</v>
      </c>
      <c r="H12" s="306" t="s">
        <v>814</v>
      </c>
      <c r="I12" s="306" t="s">
        <v>23</v>
      </c>
      <c r="J12" s="306" t="s">
        <v>34</v>
      </c>
      <c r="K12" s="307" t="s">
        <v>33</v>
      </c>
    </row>
    <row r="13" spans="1:11" ht="15.75" x14ac:dyDescent="0.25">
      <c r="C13" s="300" t="s">
        <v>1589</v>
      </c>
      <c r="D13" s="302" t="s">
        <v>22</v>
      </c>
      <c r="E13" s="303" t="s">
        <v>270</v>
      </c>
      <c r="F13" s="303" t="s">
        <v>814</v>
      </c>
      <c r="G13" s="303" t="s">
        <v>25</v>
      </c>
      <c r="H13" s="306" t="s">
        <v>31</v>
      </c>
      <c r="I13" s="306" t="s">
        <v>23</v>
      </c>
      <c r="J13" s="306" t="s">
        <v>34</v>
      </c>
      <c r="K13" s="307" t="s">
        <v>33</v>
      </c>
    </row>
    <row r="14" spans="1:11" ht="15.75" x14ac:dyDescent="0.25">
      <c r="C14" s="300" t="s">
        <v>1588</v>
      </c>
      <c r="D14" s="302" t="s">
        <v>22</v>
      </c>
      <c r="E14" s="303" t="s">
        <v>270</v>
      </c>
      <c r="F14" s="303" t="s">
        <v>32</v>
      </c>
      <c r="G14" s="303" t="s">
        <v>25</v>
      </c>
      <c r="H14" s="306" t="s">
        <v>31</v>
      </c>
      <c r="I14" s="306" t="s">
        <v>23</v>
      </c>
      <c r="J14" s="306" t="s">
        <v>34</v>
      </c>
      <c r="K14" s="307" t="s">
        <v>33</v>
      </c>
    </row>
    <row r="15" spans="1:11" ht="15.75" x14ac:dyDescent="0.25">
      <c r="C15" s="300" t="s">
        <v>1587</v>
      </c>
      <c r="D15" s="302" t="s">
        <v>22</v>
      </c>
      <c r="E15" s="303" t="s">
        <v>270</v>
      </c>
      <c r="F15" s="303" t="s">
        <v>814</v>
      </c>
      <c r="G15" s="303" t="s">
        <v>25</v>
      </c>
      <c r="H15" s="306" t="s">
        <v>31</v>
      </c>
      <c r="I15" s="306" t="s">
        <v>23</v>
      </c>
      <c r="J15" s="306" t="s">
        <v>34</v>
      </c>
      <c r="K15" s="307" t="s">
        <v>32</v>
      </c>
    </row>
    <row r="16" spans="1:11" ht="15.75" x14ac:dyDescent="0.25">
      <c r="C16" s="300" t="s">
        <v>1586</v>
      </c>
      <c r="D16" s="302" t="s">
        <v>22</v>
      </c>
      <c r="E16" s="303" t="s">
        <v>270</v>
      </c>
      <c r="F16" s="303" t="s">
        <v>814</v>
      </c>
      <c r="G16" s="303" t="s">
        <v>25</v>
      </c>
      <c r="H16" s="306" t="s">
        <v>31</v>
      </c>
      <c r="I16" s="306" t="s">
        <v>23</v>
      </c>
      <c r="J16" s="306" t="s">
        <v>32</v>
      </c>
      <c r="K16" s="307" t="s">
        <v>33</v>
      </c>
    </row>
    <row r="17" spans="3:11" ht="15.75" x14ac:dyDescent="0.25">
      <c r="C17" s="300" t="s">
        <v>1585</v>
      </c>
      <c r="D17" s="302" t="s">
        <v>31</v>
      </c>
      <c r="E17" s="303" t="s">
        <v>270</v>
      </c>
      <c r="F17" s="303" t="s">
        <v>32</v>
      </c>
      <c r="G17" s="303" t="s">
        <v>21</v>
      </c>
      <c r="H17" s="306" t="s">
        <v>814</v>
      </c>
      <c r="I17" s="306" t="s">
        <v>23</v>
      </c>
      <c r="J17" s="306" t="s">
        <v>34</v>
      </c>
      <c r="K17" s="307" t="s">
        <v>33</v>
      </c>
    </row>
    <row r="18" spans="3:11" ht="15.75" x14ac:dyDescent="0.25">
      <c r="C18" s="300" t="s">
        <v>1584</v>
      </c>
      <c r="D18" s="302" t="s">
        <v>22</v>
      </c>
      <c r="E18" s="303" t="s">
        <v>814</v>
      </c>
      <c r="F18" s="303" t="s">
        <v>32</v>
      </c>
      <c r="G18" s="303" t="s">
        <v>21</v>
      </c>
      <c r="H18" s="306" t="s">
        <v>31</v>
      </c>
      <c r="I18" s="306" t="s">
        <v>270</v>
      </c>
      <c r="J18" s="306" t="s">
        <v>34</v>
      </c>
      <c r="K18" s="307" t="s">
        <v>33</v>
      </c>
    </row>
    <row r="19" spans="3:11" ht="15.75" x14ac:dyDescent="0.25">
      <c r="C19" s="300" t="s">
        <v>1583</v>
      </c>
      <c r="D19" s="302" t="s">
        <v>22</v>
      </c>
      <c r="E19" s="303" t="s">
        <v>814</v>
      </c>
      <c r="F19" s="303" t="s">
        <v>32</v>
      </c>
      <c r="G19" s="303" t="s">
        <v>21</v>
      </c>
      <c r="H19" s="306" t="s">
        <v>31</v>
      </c>
      <c r="I19" s="306" t="s">
        <v>23</v>
      </c>
      <c r="J19" s="306" t="s">
        <v>34</v>
      </c>
      <c r="K19" s="307" t="s">
        <v>33</v>
      </c>
    </row>
    <row r="20" spans="3:11" ht="15.75" x14ac:dyDescent="0.25">
      <c r="C20" s="300" t="s">
        <v>1582</v>
      </c>
      <c r="D20" s="302" t="s">
        <v>22</v>
      </c>
      <c r="E20" s="303" t="s">
        <v>270</v>
      </c>
      <c r="F20" s="303" t="s">
        <v>32</v>
      </c>
      <c r="G20" s="303" t="s">
        <v>21</v>
      </c>
      <c r="H20" s="306" t="s">
        <v>814</v>
      </c>
      <c r="I20" s="306" t="s">
        <v>23</v>
      </c>
      <c r="J20" s="306" t="s">
        <v>34</v>
      </c>
      <c r="K20" s="307" t="s">
        <v>33</v>
      </c>
    </row>
    <row r="21" spans="3:11" ht="15.75" x14ac:dyDescent="0.25">
      <c r="C21" s="300" t="s">
        <v>1581</v>
      </c>
      <c r="D21" s="302" t="s">
        <v>22</v>
      </c>
      <c r="E21" s="303" t="s">
        <v>270</v>
      </c>
      <c r="F21" s="303" t="s">
        <v>814</v>
      </c>
      <c r="G21" s="303" t="s">
        <v>21</v>
      </c>
      <c r="H21" s="306" t="s">
        <v>31</v>
      </c>
      <c r="I21" s="306" t="s">
        <v>23</v>
      </c>
      <c r="J21" s="306" t="s">
        <v>34</v>
      </c>
      <c r="K21" s="307" t="s">
        <v>33</v>
      </c>
    </row>
    <row r="22" spans="3:11" ht="15.75" x14ac:dyDescent="0.25">
      <c r="C22" s="300" t="s">
        <v>1580</v>
      </c>
      <c r="D22" s="302" t="s">
        <v>22</v>
      </c>
      <c r="E22" s="303" t="s">
        <v>270</v>
      </c>
      <c r="F22" s="303" t="s">
        <v>32</v>
      </c>
      <c r="G22" s="303" t="s">
        <v>21</v>
      </c>
      <c r="H22" s="306" t="s">
        <v>31</v>
      </c>
      <c r="I22" s="306" t="s">
        <v>23</v>
      </c>
      <c r="J22" s="306" t="s">
        <v>34</v>
      </c>
      <c r="K22" s="307" t="s">
        <v>33</v>
      </c>
    </row>
    <row r="23" spans="3:11" ht="15.75" x14ac:dyDescent="0.25">
      <c r="C23" s="300" t="s">
        <v>1579</v>
      </c>
      <c r="D23" s="302" t="s">
        <v>22</v>
      </c>
      <c r="E23" s="303" t="s">
        <v>270</v>
      </c>
      <c r="F23" s="303" t="s">
        <v>814</v>
      </c>
      <c r="G23" s="303" t="s">
        <v>21</v>
      </c>
      <c r="H23" s="306" t="s">
        <v>31</v>
      </c>
      <c r="I23" s="306" t="s">
        <v>23</v>
      </c>
      <c r="J23" s="306" t="s">
        <v>34</v>
      </c>
      <c r="K23" s="307" t="s">
        <v>32</v>
      </c>
    </row>
    <row r="24" spans="3:11" ht="15.75" x14ac:dyDescent="0.25">
      <c r="C24" s="300" t="s">
        <v>1578</v>
      </c>
      <c r="D24" s="302" t="s">
        <v>22</v>
      </c>
      <c r="E24" s="303" t="s">
        <v>270</v>
      </c>
      <c r="F24" s="303" t="s">
        <v>814</v>
      </c>
      <c r="G24" s="303" t="s">
        <v>21</v>
      </c>
      <c r="H24" s="306" t="s">
        <v>31</v>
      </c>
      <c r="I24" s="306" t="s">
        <v>23</v>
      </c>
      <c r="J24" s="306" t="s">
        <v>32</v>
      </c>
      <c r="K24" s="307" t="s">
        <v>33</v>
      </c>
    </row>
    <row r="25" spans="3:11" ht="15.75" x14ac:dyDescent="0.25">
      <c r="C25" s="300" t="s">
        <v>1577</v>
      </c>
      <c r="D25" s="302" t="s">
        <v>31</v>
      </c>
      <c r="E25" s="303" t="s">
        <v>270</v>
      </c>
      <c r="F25" s="303" t="s">
        <v>32</v>
      </c>
      <c r="G25" s="303" t="s">
        <v>21</v>
      </c>
      <c r="H25" s="306" t="s">
        <v>814</v>
      </c>
      <c r="I25" s="306" t="s">
        <v>25</v>
      </c>
      <c r="J25" s="306" t="s">
        <v>34</v>
      </c>
      <c r="K25" s="307" t="s">
        <v>33</v>
      </c>
    </row>
    <row r="26" spans="3:11" ht="15.75" x14ac:dyDescent="0.25">
      <c r="C26" s="300" t="s">
        <v>1576</v>
      </c>
      <c r="D26" s="302" t="s">
        <v>21</v>
      </c>
      <c r="E26" s="303" t="s">
        <v>814</v>
      </c>
      <c r="F26" s="303" t="s">
        <v>32</v>
      </c>
      <c r="G26" s="303" t="s">
        <v>25</v>
      </c>
      <c r="H26" s="306" t="s">
        <v>31</v>
      </c>
      <c r="I26" s="306" t="s">
        <v>23</v>
      </c>
      <c r="J26" s="306" t="s">
        <v>34</v>
      </c>
      <c r="K26" s="307" t="s">
        <v>33</v>
      </c>
    </row>
    <row r="27" spans="3:11" ht="15.75" x14ac:dyDescent="0.25">
      <c r="C27" s="300" t="s">
        <v>1575</v>
      </c>
      <c r="D27" s="302" t="s">
        <v>21</v>
      </c>
      <c r="E27" s="303" t="s">
        <v>270</v>
      </c>
      <c r="F27" s="303" t="s">
        <v>32</v>
      </c>
      <c r="G27" s="303" t="s">
        <v>25</v>
      </c>
      <c r="H27" s="306" t="s">
        <v>814</v>
      </c>
      <c r="I27" s="306" t="s">
        <v>23</v>
      </c>
      <c r="J27" s="306" t="s">
        <v>34</v>
      </c>
      <c r="K27" s="307" t="s">
        <v>33</v>
      </c>
    </row>
    <row r="28" spans="3:11" ht="15.75" x14ac:dyDescent="0.25">
      <c r="C28" s="300" t="s">
        <v>1574</v>
      </c>
      <c r="D28" s="302" t="s">
        <v>21</v>
      </c>
      <c r="E28" s="303" t="s">
        <v>270</v>
      </c>
      <c r="F28" s="303" t="s">
        <v>814</v>
      </c>
      <c r="G28" s="303" t="s">
        <v>25</v>
      </c>
      <c r="H28" s="306" t="s">
        <v>31</v>
      </c>
      <c r="I28" s="306" t="s">
        <v>23</v>
      </c>
      <c r="J28" s="306" t="s">
        <v>34</v>
      </c>
      <c r="K28" s="307" t="s">
        <v>33</v>
      </c>
    </row>
    <row r="29" spans="3:11" ht="15.75" x14ac:dyDescent="0.25">
      <c r="C29" s="300" t="s">
        <v>1573</v>
      </c>
      <c r="D29" s="302" t="s">
        <v>21</v>
      </c>
      <c r="E29" s="303" t="s">
        <v>270</v>
      </c>
      <c r="F29" s="303" t="s">
        <v>32</v>
      </c>
      <c r="G29" s="303" t="s">
        <v>25</v>
      </c>
      <c r="H29" s="306" t="s">
        <v>31</v>
      </c>
      <c r="I29" s="306" t="s">
        <v>23</v>
      </c>
      <c r="J29" s="306" t="s">
        <v>34</v>
      </c>
      <c r="K29" s="307" t="s">
        <v>33</v>
      </c>
    </row>
    <row r="30" spans="3:11" ht="15.75" x14ac:dyDescent="0.25">
      <c r="C30" s="300" t="s">
        <v>1572</v>
      </c>
      <c r="D30" s="302" t="s">
        <v>21</v>
      </c>
      <c r="E30" s="303" t="s">
        <v>270</v>
      </c>
      <c r="F30" s="303" t="s">
        <v>814</v>
      </c>
      <c r="G30" s="303" t="s">
        <v>25</v>
      </c>
      <c r="H30" s="306" t="s">
        <v>31</v>
      </c>
      <c r="I30" s="306" t="s">
        <v>23</v>
      </c>
      <c r="J30" s="306" t="s">
        <v>34</v>
      </c>
      <c r="K30" s="307" t="s">
        <v>32</v>
      </c>
    </row>
    <row r="31" spans="3:11" ht="15.75" x14ac:dyDescent="0.25">
      <c r="C31" s="300" t="s">
        <v>1571</v>
      </c>
      <c r="D31" s="302" t="s">
        <v>21</v>
      </c>
      <c r="E31" s="303" t="s">
        <v>270</v>
      </c>
      <c r="F31" s="303" t="s">
        <v>814</v>
      </c>
      <c r="G31" s="303" t="s">
        <v>25</v>
      </c>
      <c r="H31" s="306" t="s">
        <v>31</v>
      </c>
      <c r="I31" s="306" t="s">
        <v>23</v>
      </c>
      <c r="J31" s="306" t="s">
        <v>32</v>
      </c>
      <c r="K31" s="307" t="s">
        <v>33</v>
      </c>
    </row>
    <row r="32" spans="3:11" ht="15.75" x14ac:dyDescent="0.25">
      <c r="C32" s="300" t="s">
        <v>1570</v>
      </c>
      <c r="D32" s="302" t="s">
        <v>22</v>
      </c>
      <c r="E32" s="303" t="s">
        <v>814</v>
      </c>
      <c r="F32" s="303" t="s">
        <v>32</v>
      </c>
      <c r="G32" s="303" t="s">
        <v>21</v>
      </c>
      <c r="H32" s="306" t="s">
        <v>31</v>
      </c>
      <c r="I32" s="306" t="s">
        <v>25</v>
      </c>
      <c r="J32" s="306" t="s">
        <v>34</v>
      </c>
      <c r="K32" s="307" t="s">
        <v>33</v>
      </c>
    </row>
    <row r="33" spans="3:11" ht="15.75" x14ac:dyDescent="0.25">
      <c r="C33" s="300" t="s">
        <v>1569</v>
      </c>
      <c r="D33" s="302" t="s">
        <v>22</v>
      </c>
      <c r="E33" s="303" t="s">
        <v>270</v>
      </c>
      <c r="F33" s="303" t="s">
        <v>32</v>
      </c>
      <c r="G33" s="303" t="s">
        <v>21</v>
      </c>
      <c r="H33" s="306" t="s">
        <v>814</v>
      </c>
      <c r="I33" s="306" t="s">
        <v>25</v>
      </c>
      <c r="J33" s="306" t="s">
        <v>34</v>
      </c>
      <c r="K33" s="307" t="s">
        <v>33</v>
      </c>
    </row>
    <row r="34" spans="3:11" ht="15.75" x14ac:dyDescent="0.25">
      <c r="C34" s="300" t="s">
        <v>1568</v>
      </c>
      <c r="D34" s="302" t="s">
        <v>22</v>
      </c>
      <c r="E34" s="303" t="s">
        <v>270</v>
      </c>
      <c r="F34" s="303" t="s">
        <v>814</v>
      </c>
      <c r="G34" s="303" t="s">
        <v>21</v>
      </c>
      <c r="H34" s="306" t="s">
        <v>31</v>
      </c>
      <c r="I34" s="306" t="s">
        <v>25</v>
      </c>
      <c r="J34" s="306" t="s">
        <v>34</v>
      </c>
      <c r="K34" s="307" t="s">
        <v>33</v>
      </c>
    </row>
    <row r="35" spans="3:11" ht="15.75" x14ac:dyDescent="0.25">
      <c r="C35" s="300" t="s">
        <v>1567</v>
      </c>
      <c r="D35" s="302" t="s">
        <v>22</v>
      </c>
      <c r="E35" s="303" t="s">
        <v>270</v>
      </c>
      <c r="F35" s="303" t="s">
        <v>32</v>
      </c>
      <c r="G35" s="303" t="s">
        <v>21</v>
      </c>
      <c r="H35" s="306" t="s">
        <v>31</v>
      </c>
      <c r="I35" s="306" t="s">
        <v>25</v>
      </c>
      <c r="J35" s="306" t="s">
        <v>34</v>
      </c>
      <c r="K35" s="307" t="s">
        <v>33</v>
      </c>
    </row>
    <row r="36" spans="3:11" ht="15.75" x14ac:dyDescent="0.25">
      <c r="C36" s="300" t="s">
        <v>1566</v>
      </c>
      <c r="D36" s="302" t="s">
        <v>22</v>
      </c>
      <c r="E36" s="303" t="s">
        <v>270</v>
      </c>
      <c r="F36" s="303" t="s">
        <v>814</v>
      </c>
      <c r="G36" s="303" t="s">
        <v>21</v>
      </c>
      <c r="H36" s="306" t="s">
        <v>31</v>
      </c>
      <c r="I36" s="306" t="s">
        <v>25</v>
      </c>
      <c r="J36" s="306" t="s">
        <v>34</v>
      </c>
      <c r="K36" s="307" t="s">
        <v>32</v>
      </c>
    </row>
    <row r="37" spans="3:11" ht="15.75" x14ac:dyDescent="0.25">
      <c r="C37" s="300" t="s">
        <v>1565</v>
      </c>
      <c r="D37" s="302" t="s">
        <v>22</v>
      </c>
      <c r="E37" s="303" t="s">
        <v>270</v>
      </c>
      <c r="F37" s="303" t="s">
        <v>814</v>
      </c>
      <c r="G37" s="303" t="s">
        <v>21</v>
      </c>
      <c r="H37" s="306" t="s">
        <v>31</v>
      </c>
      <c r="I37" s="306" t="s">
        <v>25</v>
      </c>
      <c r="J37" s="306" t="s">
        <v>32</v>
      </c>
      <c r="K37" s="307" t="s">
        <v>33</v>
      </c>
    </row>
    <row r="38" spans="3:11" ht="15.75" x14ac:dyDescent="0.25">
      <c r="C38" s="300" t="s">
        <v>1564</v>
      </c>
      <c r="D38" s="302" t="s">
        <v>21</v>
      </c>
      <c r="E38" s="303" t="s">
        <v>814</v>
      </c>
      <c r="F38" s="303" t="s">
        <v>22</v>
      </c>
      <c r="G38" s="303" t="s">
        <v>25</v>
      </c>
      <c r="H38" s="306" t="s">
        <v>32</v>
      </c>
      <c r="I38" s="306" t="s">
        <v>23</v>
      </c>
      <c r="J38" s="306" t="s">
        <v>34</v>
      </c>
      <c r="K38" s="307" t="s">
        <v>33</v>
      </c>
    </row>
    <row r="39" spans="3:11" ht="15.75" x14ac:dyDescent="0.25">
      <c r="C39" s="300" t="s">
        <v>1563</v>
      </c>
      <c r="D39" s="302" t="s">
        <v>21</v>
      </c>
      <c r="E39" s="303" t="s">
        <v>814</v>
      </c>
      <c r="F39" s="303" t="s">
        <v>22</v>
      </c>
      <c r="G39" s="303" t="s">
        <v>25</v>
      </c>
      <c r="H39" s="306" t="s">
        <v>31</v>
      </c>
      <c r="I39" s="306" t="s">
        <v>23</v>
      </c>
      <c r="J39" s="306" t="s">
        <v>34</v>
      </c>
      <c r="K39" s="307" t="s">
        <v>33</v>
      </c>
    </row>
    <row r="40" spans="3:11" ht="15.75" x14ac:dyDescent="0.25">
      <c r="C40" s="300" t="s">
        <v>1562</v>
      </c>
      <c r="D40" s="302" t="s">
        <v>21</v>
      </c>
      <c r="E40" s="303" t="s">
        <v>22</v>
      </c>
      <c r="F40" s="303" t="s">
        <v>32</v>
      </c>
      <c r="G40" s="303" t="s">
        <v>25</v>
      </c>
      <c r="H40" s="306" t="s">
        <v>31</v>
      </c>
      <c r="I40" s="306" t="s">
        <v>23</v>
      </c>
      <c r="J40" s="306" t="s">
        <v>34</v>
      </c>
      <c r="K40" s="307" t="s">
        <v>33</v>
      </c>
    </row>
    <row r="41" spans="3:11" ht="15.75" x14ac:dyDescent="0.25">
      <c r="C41" s="300" t="s">
        <v>1561</v>
      </c>
      <c r="D41" s="302" t="s">
        <v>21</v>
      </c>
      <c r="E41" s="303" t="s">
        <v>814</v>
      </c>
      <c r="F41" s="303" t="s">
        <v>22</v>
      </c>
      <c r="G41" s="303" t="s">
        <v>25</v>
      </c>
      <c r="H41" s="306" t="s">
        <v>31</v>
      </c>
      <c r="I41" s="306" t="s">
        <v>23</v>
      </c>
      <c r="J41" s="306" t="s">
        <v>34</v>
      </c>
      <c r="K41" s="307" t="s">
        <v>32</v>
      </c>
    </row>
    <row r="42" spans="3:11" ht="15.75" x14ac:dyDescent="0.25">
      <c r="C42" s="300" t="s">
        <v>1560</v>
      </c>
      <c r="D42" s="302" t="s">
        <v>21</v>
      </c>
      <c r="E42" s="303" t="s">
        <v>814</v>
      </c>
      <c r="F42" s="303" t="s">
        <v>22</v>
      </c>
      <c r="G42" s="303" t="s">
        <v>25</v>
      </c>
      <c r="H42" s="306" t="s">
        <v>31</v>
      </c>
      <c r="I42" s="306" t="s">
        <v>23</v>
      </c>
      <c r="J42" s="306" t="s">
        <v>32</v>
      </c>
      <c r="K42" s="307" t="s">
        <v>33</v>
      </c>
    </row>
    <row r="43" spans="3:11" ht="15.75" x14ac:dyDescent="0.25">
      <c r="C43" s="300" t="s">
        <v>1559</v>
      </c>
      <c r="D43" s="302" t="s">
        <v>21</v>
      </c>
      <c r="E43" s="303" t="s">
        <v>270</v>
      </c>
      <c r="F43" s="303" t="s">
        <v>22</v>
      </c>
      <c r="G43" s="303" t="s">
        <v>25</v>
      </c>
      <c r="H43" s="306" t="s">
        <v>814</v>
      </c>
      <c r="I43" s="306" t="s">
        <v>23</v>
      </c>
      <c r="J43" s="306" t="s">
        <v>34</v>
      </c>
      <c r="K43" s="307" t="s">
        <v>33</v>
      </c>
    </row>
    <row r="44" spans="3:11" ht="15.75" x14ac:dyDescent="0.25">
      <c r="C44" s="300" t="s">
        <v>1558</v>
      </c>
      <c r="D44" s="302" t="s">
        <v>21</v>
      </c>
      <c r="E44" s="303" t="s">
        <v>270</v>
      </c>
      <c r="F44" s="303" t="s">
        <v>22</v>
      </c>
      <c r="G44" s="303" t="s">
        <v>25</v>
      </c>
      <c r="H44" s="306" t="s">
        <v>32</v>
      </c>
      <c r="I44" s="306" t="s">
        <v>23</v>
      </c>
      <c r="J44" s="306" t="s">
        <v>34</v>
      </c>
      <c r="K44" s="307" t="s">
        <v>33</v>
      </c>
    </row>
    <row r="45" spans="3:11" ht="15.75" x14ac:dyDescent="0.25">
      <c r="C45" s="300" t="s">
        <v>1557</v>
      </c>
      <c r="D45" s="302" t="s">
        <v>21</v>
      </c>
      <c r="E45" s="303" t="s">
        <v>270</v>
      </c>
      <c r="F45" s="303" t="s">
        <v>22</v>
      </c>
      <c r="G45" s="303" t="s">
        <v>25</v>
      </c>
      <c r="H45" s="306" t="s">
        <v>814</v>
      </c>
      <c r="I45" s="306" t="s">
        <v>23</v>
      </c>
      <c r="J45" s="306" t="s">
        <v>34</v>
      </c>
      <c r="K45" s="307" t="s">
        <v>32</v>
      </c>
    </row>
    <row r="46" spans="3:11" ht="15.75" x14ac:dyDescent="0.25">
      <c r="C46" s="300" t="s">
        <v>1556</v>
      </c>
      <c r="D46" s="302" t="s">
        <v>21</v>
      </c>
      <c r="E46" s="303" t="s">
        <v>270</v>
      </c>
      <c r="F46" s="303" t="s">
        <v>22</v>
      </c>
      <c r="G46" s="303" t="s">
        <v>25</v>
      </c>
      <c r="H46" s="306" t="s">
        <v>814</v>
      </c>
      <c r="I46" s="306" t="s">
        <v>23</v>
      </c>
      <c r="J46" s="306" t="s">
        <v>32</v>
      </c>
      <c r="K46" s="307" t="s">
        <v>33</v>
      </c>
    </row>
    <row r="47" spans="3:11" ht="15.75" x14ac:dyDescent="0.25">
      <c r="C47" s="300" t="s">
        <v>1555</v>
      </c>
      <c r="D47" s="302" t="s">
        <v>21</v>
      </c>
      <c r="E47" s="303" t="s">
        <v>270</v>
      </c>
      <c r="F47" s="303" t="s">
        <v>22</v>
      </c>
      <c r="G47" s="303" t="s">
        <v>25</v>
      </c>
      <c r="H47" s="306" t="s">
        <v>31</v>
      </c>
      <c r="I47" s="306" t="s">
        <v>23</v>
      </c>
      <c r="J47" s="306" t="s">
        <v>34</v>
      </c>
      <c r="K47" s="307" t="s">
        <v>33</v>
      </c>
    </row>
    <row r="48" spans="3:11" ht="15.75" x14ac:dyDescent="0.25">
      <c r="C48" s="300" t="s">
        <v>1554</v>
      </c>
      <c r="D48" s="302" t="s">
        <v>21</v>
      </c>
      <c r="E48" s="303" t="s">
        <v>270</v>
      </c>
      <c r="F48" s="303" t="s">
        <v>814</v>
      </c>
      <c r="G48" s="303" t="s">
        <v>25</v>
      </c>
      <c r="H48" s="306" t="s">
        <v>31</v>
      </c>
      <c r="I48" s="306" t="s">
        <v>23</v>
      </c>
      <c r="J48" s="306" t="s">
        <v>34</v>
      </c>
      <c r="K48" s="307" t="s">
        <v>22</v>
      </c>
    </row>
    <row r="49" spans="3:11" ht="15.75" x14ac:dyDescent="0.25">
      <c r="C49" s="300" t="s">
        <v>1553</v>
      </c>
      <c r="D49" s="302" t="s">
        <v>21</v>
      </c>
      <c r="E49" s="303" t="s">
        <v>270</v>
      </c>
      <c r="F49" s="303" t="s">
        <v>814</v>
      </c>
      <c r="G49" s="303" t="s">
        <v>25</v>
      </c>
      <c r="H49" s="306" t="s">
        <v>31</v>
      </c>
      <c r="I49" s="306" t="s">
        <v>23</v>
      </c>
      <c r="J49" s="306" t="s">
        <v>22</v>
      </c>
      <c r="K49" s="307" t="s">
        <v>33</v>
      </c>
    </row>
    <row r="50" spans="3:11" ht="15.75" x14ac:dyDescent="0.25">
      <c r="C50" s="300" t="s">
        <v>1552</v>
      </c>
      <c r="D50" s="302" t="s">
        <v>21</v>
      </c>
      <c r="E50" s="303" t="s">
        <v>270</v>
      </c>
      <c r="F50" s="303" t="s">
        <v>22</v>
      </c>
      <c r="G50" s="303" t="s">
        <v>25</v>
      </c>
      <c r="H50" s="306" t="s">
        <v>31</v>
      </c>
      <c r="I50" s="306" t="s">
        <v>23</v>
      </c>
      <c r="J50" s="306" t="s">
        <v>34</v>
      </c>
      <c r="K50" s="307" t="s">
        <v>32</v>
      </c>
    </row>
    <row r="51" spans="3:11" ht="15.75" x14ac:dyDescent="0.25">
      <c r="C51" s="300" t="s">
        <v>1551</v>
      </c>
      <c r="D51" s="302" t="s">
        <v>21</v>
      </c>
      <c r="E51" s="303" t="s">
        <v>270</v>
      </c>
      <c r="F51" s="303" t="s">
        <v>22</v>
      </c>
      <c r="G51" s="303" t="s">
        <v>25</v>
      </c>
      <c r="H51" s="306" t="s">
        <v>31</v>
      </c>
      <c r="I51" s="306" t="s">
        <v>23</v>
      </c>
      <c r="J51" s="306" t="s">
        <v>32</v>
      </c>
      <c r="K51" s="307" t="s">
        <v>33</v>
      </c>
    </row>
    <row r="52" spans="3:11" ht="15.75" x14ac:dyDescent="0.25">
      <c r="C52" s="300" t="s">
        <v>1550</v>
      </c>
      <c r="D52" s="302" t="s">
        <v>21</v>
      </c>
      <c r="E52" s="303" t="s">
        <v>270</v>
      </c>
      <c r="F52" s="303" t="s">
        <v>814</v>
      </c>
      <c r="G52" s="303" t="s">
        <v>25</v>
      </c>
      <c r="H52" s="306" t="s">
        <v>31</v>
      </c>
      <c r="I52" s="306" t="s">
        <v>23</v>
      </c>
      <c r="J52" s="306" t="s">
        <v>22</v>
      </c>
      <c r="K52" s="307" t="s">
        <v>32</v>
      </c>
    </row>
    <row r="53" spans="3:11" ht="15.75" x14ac:dyDescent="0.25">
      <c r="C53" s="300" t="s">
        <v>1549</v>
      </c>
      <c r="D53" s="302" t="s">
        <v>31</v>
      </c>
      <c r="E53" s="303" t="s">
        <v>814</v>
      </c>
      <c r="F53" s="303" t="s">
        <v>20</v>
      </c>
      <c r="G53" s="303" t="s">
        <v>23</v>
      </c>
      <c r="H53" s="306" t="s">
        <v>32</v>
      </c>
      <c r="I53" s="306" t="s">
        <v>270</v>
      </c>
      <c r="J53" s="306" t="s">
        <v>34</v>
      </c>
      <c r="K53" s="307" t="s">
        <v>33</v>
      </c>
    </row>
    <row r="54" spans="3:11" ht="15.75" x14ac:dyDescent="0.25">
      <c r="C54" s="300" t="s">
        <v>1548</v>
      </c>
      <c r="D54" s="302" t="s">
        <v>22</v>
      </c>
      <c r="E54" s="303" t="s">
        <v>814</v>
      </c>
      <c r="F54" s="303" t="s">
        <v>32</v>
      </c>
      <c r="G54" s="303" t="s">
        <v>20</v>
      </c>
      <c r="H54" s="306" t="s">
        <v>31</v>
      </c>
      <c r="I54" s="306" t="s">
        <v>270</v>
      </c>
      <c r="J54" s="306" t="s">
        <v>34</v>
      </c>
      <c r="K54" s="307" t="s">
        <v>33</v>
      </c>
    </row>
    <row r="55" spans="3:11" ht="15.75" x14ac:dyDescent="0.25">
      <c r="C55" s="300" t="s">
        <v>1547</v>
      </c>
      <c r="D55" s="302" t="s">
        <v>22</v>
      </c>
      <c r="E55" s="303" t="s">
        <v>814</v>
      </c>
      <c r="F55" s="303" t="s">
        <v>20</v>
      </c>
      <c r="G55" s="303" t="s">
        <v>23</v>
      </c>
      <c r="H55" s="306" t="s">
        <v>32</v>
      </c>
      <c r="I55" s="306" t="s">
        <v>31</v>
      </c>
      <c r="J55" s="306" t="s">
        <v>34</v>
      </c>
      <c r="K55" s="307" t="s">
        <v>33</v>
      </c>
    </row>
    <row r="56" spans="3:11" ht="15.75" x14ac:dyDescent="0.25">
      <c r="C56" s="300" t="s">
        <v>1546</v>
      </c>
      <c r="D56" s="302" t="s">
        <v>22</v>
      </c>
      <c r="E56" s="303" t="s">
        <v>814</v>
      </c>
      <c r="F56" s="303" t="s">
        <v>20</v>
      </c>
      <c r="G56" s="303" t="s">
        <v>23</v>
      </c>
      <c r="H56" s="306" t="s">
        <v>32</v>
      </c>
      <c r="I56" s="306" t="s">
        <v>270</v>
      </c>
      <c r="J56" s="306" t="s">
        <v>34</v>
      </c>
      <c r="K56" s="307" t="s">
        <v>33</v>
      </c>
    </row>
    <row r="57" spans="3:11" ht="15.75" x14ac:dyDescent="0.25">
      <c r="C57" s="300" t="s">
        <v>1545</v>
      </c>
      <c r="D57" s="302" t="s">
        <v>22</v>
      </c>
      <c r="E57" s="303" t="s">
        <v>814</v>
      </c>
      <c r="F57" s="303" t="s">
        <v>20</v>
      </c>
      <c r="G57" s="303" t="s">
        <v>23</v>
      </c>
      <c r="H57" s="306" t="s">
        <v>31</v>
      </c>
      <c r="I57" s="306" t="s">
        <v>270</v>
      </c>
      <c r="J57" s="306" t="s">
        <v>34</v>
      </c>
      <c r="K57" s="307" t="s">
        <v>33</v>
      </c>
    </row>
    <row r="58" spans="3:11" ht="15.75" x14ac:dyDescent="0.25">
      <c r="C58" s="300" t="s">
        <v>1544</v>
      </c>
      <c r="D58" s="302" t="s">
        <v>22</v>
      </c>
      <c r="E58" s="303" t="s">
        <v>270</v>
      </c>
      <c r="F58" s="303" t="s">
        <v>20</v>
      </c>
      <c r="G58" s="303" t="s">
        <v>23</v>
      </c>
      <c r="H58" s="306" t="s">
        <v>32</v>
      </c>
      <c r="I58" s="306" t="s">
        <v>31</v>
      </c>
      <c r="J58" s="306" t="s">
        <v>34</v>
      </c>
      <c r="K58" s="307" t="s">
        <v>33</v>
      </c>
    </row>
    <row r="59" spans="3:11" ht="15.75" x14ac:dyDescent="0.25">
      <c r="C59" s="300" t="s">
        <v>1543</v>
      </c>
      <c r="D59" s="302" t="s">
        <v>22</v>
      </c>
      <c r="E59" s="303" t="s">
        <v>814</v>
      </c>
      <c r="F59" s="303" t="s">
        <v>20</v>
      </c>
      <c r="G59" s="303" t="s">
        <v>23</v>
      </c>
      <c r="H59" s="306" t="s">
        <v>31</v>
      </c>
      <c r="I59" s="306" t="s">
        <v>270</v>
      </c>
      <c r="J59" s="306" t="s">
        <v>34</v>
      </c>
      <c r="K59" s="307" t="s">
        <v>32</v>
      </c>
    </row>
    <row r="60" spans="3:11" ht="15.75" x14ac:dyDescent="0.25">
      <c r="C60" s="300" t="s">
        <v>1542</v>
      </c>
      <c r="D60" s="302" t="s">
        <v>22</v>
      </c>
      <c r="E60" s="303" t="s">
        <v>814</v>
      </c>
      <c r="F60" s="303" t="s">
        <v>20</v>
      </c>
      <c r="G60" s="303" t="s">
        <v>23</v>
      </c>
      <c r="H60" s="306" t="s">
        <v>31</v>
      </c>
      <c r="I60" s="306" t="s">
        <v>270</v>
      </c>
      <c r="J60" s="306" t="s">
        <v>32</v>
      </c>
      <c r="K60" s="307" t="s">
        <v>33</v>
      </c>
    </row>
    <row r="61" spans="3:11" ht="15.75" x14ac:dyDescent="0.25">
      <c r="C61" s="300" t="s">
        <v>1541</v>
      </c>
      <c r="D61" s="302" t="s">
        <v>31</v>
      </c>
      <c r="E61" s="303" t="s">
        <v>814</v>
      </c>
      <c r="F61" s="303" t="s">
        <v>20</v>
      </c>
      <c r="G61" s="303" t="s">
        <v>25</v>
      </c>
      <c r="H61" s="306" t="s">
        <v>32</v>
      </c>
      <c r="I61" s="306" t="s">
        <v>270</v>
      </c>
      <c r="J61" s="306" t="s">
        <v>34</v>
      </c>
      <c r="K61" s="307" t="s">
        <v>33</v>
      </c>
    </row>
    <row r="62" spans="3:11" ht="15.75" x14ac:dyDescent="0.25">
      <c r="C62" s="300" t="s">
        <v>1540</v>
      </c>
      <c r="D62" s="302" t="s">
        <v>31</v>
      </c>
      <c r="E62" s="303" t="s">
        <v>814</v>
      </c>
      <c r="F62" s="303" t="s">
        <v>20</v>
      </c>
      <c r="G62" s="303" t="s">
        <v>25</v>
      </c>
      <c r="H62" s="306" t="s">
        <v>32</v>
      </c>
      <c r="I62" s="306" t="s">
        <v>23</v>
      </c>
      <c r="J62" s="306" t="s">
        <v>34</v>
      </c>
      <c r="K62" s="307" t="s">
        <v>33</v>
      </c>
    </row>
    <row r="63" spans="3:11" ht="15.75" x14ac:dyDescent="0.25">
      <c r="C63" s="300" t="s">
        <v>1539</v>
      </c>
      <c r="D63" s="302" t="s">
        <v>32</v>
      </c>
      <c r="E63" s="303" t="s">
        <v>270</v>
      </c>
      <c r="F63" s="303" t="s">
        <v>20</v>
      </c>
      <c r="G63" s="303" t="s">
        <v>25</v>
      </c>
      <c r="H63" s="306" t="s">
        <v>814</v>
      </c>
      <c r="I63" s="306" t="s">
        <v>23</v>
      </c>
      <c r="J63" s="306" t="s">
        <v>34</v>
      </c>
      <c r="K63" s="307" t="s">
        <v>33</v>
      </c>
    </row>
    <row r="64" spans="3:11" ht="15.75" x14ac:dyDescent="0.25">
      <c r="C64" s="300" t="s">
        <v>1538</v>
      </c>
      <c r="D64" s="302" t="s">
        <v>31</v>
      </c>
      <c r="E64" s="303" t="s">
        <v>270</v>
      </c>
      <c r="F64" s="303" t="s">
        <v>20</v>
      </c>
      <c r="G64" s="303" t="s">
        <v>25</v>
      </c>
      <c r="H64" s="306" t="s">
        <v>814</v>
      </c>
      <c r="I64" s="306" t="s">
        <v>23</v>
      </c>
      <c r="J64" s="306" t="s">
        <v>34</v>
      </c>
      <c r="K64" s="307" t="s">
        <v>33</v>
      </c>
    </row>
    <row r="65" spans="3:11" ht="15.75" x14ac:dyDescent="0.25">
      <c r="C65" s="300" t="s">
        <v>1537</v>
      </c>
      <c r="D65" s="302" t="s">
        <v>31</v>
      </c>
      <c r="E65" s="303" t="s">
        <v>270</v>
      </c>
      <c r="F65" s="303" t="s">
        <v>20</v>
      </c>
      <c r="G65" s="303" t="s">
        <v>25</v>
      </c>
      <c r="H65" s="306" t="s">
        <v>32</v>
      </c>
      <c r="I65" s="306" t="s">
        <v>23</v>
      </c>
      <c r="J65" s="306" t="s">
        <v>34</v>
      </c>
      <c r="K65" s="307" t="s">
        <v>33</v>
      </c>
    </row>
    <row r="66" spans="3:11" ht="15.75" x14ac:dyDescent="0.25">
      <c r="C66" s="300" t="s">
        <v>1536</v>
      </c>
      <c r="D66" s="302" t="s">
        <v>31</v>
      </c>
      <c r="E66" s="303" t="s">
        <v>270</v>
      </c>
      <c r="F66" s="303" t="s">
        <v>20</v>
      </c>
      <c r="G66" s="303" t="s">
        <v>25</v>
      </c>
      <c r="H66" s="306" t="s">
        <v>814</v>
      </c>
      <c r="I66" s="306" t="s">
        <v>23</v>
      </c>
      <c r="J66" s="306" t="s">
        <v>34</v>
      </c>
      <c r="K66" s="307" t="s">
        <v>32</v>
      </c>
    </row>
    <row r="67" spans="3:11" ht="15.75" x14ac:dyDescent="0.25">
      <c r="C67" s="300" t="s">
        <v>1535</v>
      </c>
      <c r="D67" s="302" t="s">
        <v>31</v>
      </c>
      <c r="E67" s="303" t="s">
        <v>270</v>
      </c>
      <c r="F67" s="303" t="s">
        <v>20</v>
      </c>
      <c r="G67" s="303" t="s">
        <v>25</v>
      </c>
      <c r="H67" s="306" t="s">
        <v>814</v>
      </c>
      <c r="I67" s="306" t="s">
        <v>23</v>
      </c>
      <c r="J67" s="306" t="s">
        <v>32</v>
      </c>
      <c r="K67" s="307" t="s">
        <v>33</v>
      </c>
    </row>
    <row r="68" spans="3:11" ht="15.75" x14ac:dyDescent="0.25">
      <c r="C68" s="300" t="s">
        <v>1534</v>
      </c>
      <c r="D68" s="302" t="s">
        <v>22</v>
      </c>
      <c r="E68" s="303" t="s">
        <v>814</v>
      </c>
      <c r="F68" s="303" t="s">
        <v>20</v>
      </c>
      <c r="G68" s="303" t="s">
        <v>25</v>
      </c>
      <c r="H68" s="306" t="s">
        <v>32</v>
      </c>
      <c r="I68" s="306" t="s">
        <v>31</v>
      </c>
      <c r="J68" s="306" t="s">
        <v>34</v>
      </c>
      <c r="K68" s="307" t="s">
        <v>33</v>
      </c>
    </row>
    <row r="69" spans="3:11" ht="15.75" x14ac:dyDescent="0.25">
      <c r="C69" s="300" t="s">
        <v>1533</v>
      </c>
      <c r="D69" s="302" t="s">
        <v>22</v>
      </c>
      <c r="E69" s="303" t="s">
        <v>814</v>
      </c>
      <c r="F69" s="303" t="s">
        <v>20</v>
      </c>
      <c r="G69" s="303" t="s">
        <v>25</v>
      </c>
      <c r="H69" s="306" t="s">
        <v>32</v>
      </c>
      <c r="I69" s="306" t="s">
        <v>270</v>
      </c>
      <c r="J69" s="306" t="s">
        <v>34</v>
      </c>
      <c r="K69" s="307" t="s">
        <v>33</v>
      </c>
    </row>
    <row r="70" spans="3:11" ht="15.75" x14ac:dyDescent="0.25">
      <c r="C70" s="300" t="s">
        <v>1532</v>
      </c>
      <c r="D70" s="302" t="s">
        <v>22</v>
      </c>
      <c r="E70" s="303" t="s">
        <v>814</v>
      </c>
      <c r="F70" s="303" t="s">
        <v>20</v>
      </c>
      <c r="G70" s="303" t="s">
        <v>25</v>
      </c>
      <c r="H70" s="306" t="s">
        <v>31</v>
      </c>
      <c r="I70" s="306" t="s">
        <v>270</v>
      </c>
      <c r="J70" s="306" t="s">
        <v>34</v>
      </c>
      <c r="K70" s="307" t="s">
        <v>33</v>
      </c>
    </row>
    <row r="71" spans="3:11" ht="15.75" x14ac:dyDescent="0.25">
      <c r="C71" s="300" t="s">
        <v>1531</v>
      </c>
      <c r="D71" s="302" t="s">
        <v>22</v>
      </c>
      <c r="E71" s="303" t="s">
        <v>270</v>
      </c>
      <c r="F71" s="303" t="s">
        <v>20</v>
      </c>
      <c r="G71" s="303" t="s">
        <v>25</v>
      </c>
      <c r="H71" s="306" t="s">
        <v>32</v>
      </c>
      <c r="I71" s="306" t="s">
        <v>31</v>
      </c>
      <c r="J71" s="306" t="s">
        <v>34</v>
      </c>
      <c r="K71" s="307" t="s">
        <v>33</v>
      </c>
    </row>
    <row r="72" spans="3:11" ht="15.75" x14ac:dyDescent="0.25">
      <c r="C72" s="300" t="s">
        <v>1530</v>
      </c>
      <c r="D72" s="302" t="s">
        <v>22</v>
      </c>
      <c r="E72" s="303" t="s">
        <v>814</v>
      </c>
      <c r="F72" s="303" t="s">
        <v>20</v>
      </c>
      <c r="G72" s="303" t="s">
        <v>25</v>
      </c>
      <c r="H72" s="306" t="s">
        <v>31</v>
      </c>
      <c r="I72" s="306" t="s">
        <v>270</v>
      </c>
      <c r="J72" s="306" t="s">
        <v>34</v>
      </c>
      <c r="K72" s="307" t="s">
        <v>32</v>
      </c>
    </row>
    <row r="73" spans="3:11" ht="15.75" x14ac:dyDescent="0.25">
      <c r="C73" s="300" t="s">
        <v>1529</v>
      </c>
      <c r="D73" s="302" t="s">
        <v>22</v>
      </c>
      <c r="E73" s="303" t="s">
        <v>814</v>
      </c>
      <c r="F73" s="303" t="s">
        <v>20</v>
      </c>
      <c r="G73" s="303" t="s">
        <v>25</v>
      </c>
      <c r="H73" s="306" t="s">
        <v>31</v>
      </c>
      <c r="I73" s="306" t="s">
        <v>270</v>
      </c>
      <c r="J73" s="306" t="s">
        <v>32</v>
      </c>
      <c r="K73" s="307" t="s">
        <v>33</v>
      </c>
    </row>
    <row r="74" spans="3:11" ht="15.75" x14ac:dyDescent="0.25">
      <c r="C74" s="300" t="s">
        <v>1528</v>
      </c>
      <c r="D74" s="302" t="s">
        <v>22</v>
      </c>
      <c r="E74" s="303" t="s">
        <v>814</v>
      </c>
      <c r="F74" s="303" t="s">
        <v>20</v>
      </c>
      <c r="G74" s="303" t="s">
        <v>25</v>
      </c>
      <c r="H74" s="306" t="s">
        <v>32</v>
      </c>
      <c r="I74" s="306" t="s">
        <v>23</v>
      </c>
      <c r="J74" s="306" t="s">
        <v>34</v>
      </c>
      <c r="K74" s="307" t="s">
        <v>33</v>
      </c>
    </row>
    <row r="75" spans="3:11" ht="15.75" x14ac:dyDescent="0.25">
      <c r="C75" s="300" t="s">
        <v>1527</v>
      </c>
      <c r="D75" s="302" t="s">
        <v>22</v>
      </c>
      <c r="E75" s="303" t="s">
        <v>814</v>
      </c>
      <c r="F75" s="303" t="s">
        <v>20</v>
      </c>
      <c r="G75" s="303" t="s">
        <v>25</v>
      </c>
      <c r="H75" s="306" t="s">
        <v>31</v>
      </c>
      <c r="I75" s="306" t="s">
        <v>23</v>
      </c>
      <c r="J75" s="306" t="s">
        <v>34</v>
      </c>
      <c r="K75" s="307" t="s">
        <v>33</v>
      </c>
    </row>
    <row r="76" spans="3:11" ht="15.75" x14ac:dyDescent="0.25">
      <c r="C76" s="300" t="s">
        <v>1526</v>
      </c>
      <c r="D76" s="302" t="s">
        <v>22</v>
      </c>
      <c r="E76" s="303" t="s">
        <v>32</v>
      </c>
      <c r="F76" s="303" t="s">
        <v>20</v>
      </c>
      <c r="G76" s="303" t="s">
        <v>25</v>
      </c>
      <c r="H76" s="306" t="s">
        <v>31</v>
      </c>
      <c r="I76" s="306" t="s">
        <v>23</v>
      </c>
      <c r="J76" s="306" t="s">
        <v>34</v>
      </c>
      <c r="K76" s="307" t="s">
        <v>33</v>
      </c>
    </row>
    <row r="77" spans="3:11" ht="15.75" x14ac:dyDescent="0.25">
      <c r="C77" s="300" t="s">
        <v>1525</v>
      </c>
      <c r="D77" s="302" t="s">
        <v>22</v>
      </c>
      <c r="E77" s="303" t="s">
        <v>814</v>
      </c>
      <c r="F77" s="303" t="s">
        <v>20</v>
      </c>
      <c r="G77" s="303" t="s">
        <v>25</v>
      </c>
      <c r="H77" s="306" t="s">
        <v>31</v>
      </c>
      <c r="I77" s="306" t="s">
        <v>23</v>
      </c>
      <c r="J77" s="306" t="s">
        <v>34</v>
      </c>
      <c r="K77" s="307" t="s">
        <v>32</v>
      </c>
    </row>
    <row r="78" spans="3:11" ht="15.75" x14ac:dyDescent="0.25">
      <c r="C78" s="300" t="s">
        <v>1524</v>
      </c>
      <c r="D78" s="302" t="s">
        <v>22</v>
      </c>
      <c r="E78" s="303" t="s">
        <v>814</v>
      </c>
      <c r="F78" s="303" t="s">
        <v>20</v>
      </c>
      <c r="G78" s="303" t="s">
        <v>25</v>
      </c>
      <c r="H78" s="306" t="s">
        <v>31</v>
      </c>
      <c r="I78" s="306" t="s">
        <v>23</v>
      </c>
      <c r="J78" s="306" t="s">
        <v>32</v>
      </c>
      <c r="K78" s="307" t="s">
        <v>33</v>
      </c>
    </row>
    <row r="79" spans="3:11" ht="15.75" x14ac:dyDescent="0.25">
      <c r="C79" s="300" t="s">
        <v>1523</v>
      </c>
      <c r="D79" s="302" t="s">
        <v>22</v>
      </c>
      <c r="E79" s="303" t="s">
        <v>270</v>
      </c>
      <c r="F79" s="303" t="s">
        <v>20</v>
      </c>
      <c r="G79" s="303" t="s">
        <v>25</v>
      </c>
      <c r="H79" s="306" t="s">
        <v>814</v>
      </c>
      <c r="I79" s="306" t="s">
        <v>23</v>
      </c>
      <c r="J79" s="306" t="s">
        <v>34</v>
      </c>
      <c r="K79" s="307" t="s">
        <v>33</v>
      </c>
    </row>
    <row r="80" spans="3:11" ht="15.75" x14ac:dyDescent="0.25">
      <c r="C80" s="300" t="s">
        <v>1522</v>
      </c>
      <c r="D80" s="302" t="s">
        <v>22</v>
      </c>
      <c r="E80" s="303" t="s">
        <v>270</v>
      </c>
      <c r="F80" s="303" t="s">
        <v>20</v>
      </c>
      <c r="G80" s="303" t="s">
        <v>25</v>
      </c>
      <c r="H80" s="306" t="s">
        <v>32</v>
      </c>
      <c r="I80" s="306" t="s">
        <v>23</v>
      </c>
      <c r="J80" s="306" t="s">
        <v>34</v>
      </c>
      <c r="K80" s="307" t="s">
        <v>33</v>
      </c>
    </row>
    <row r="81" spans="3:11" ht="15.75" x14ac:dyDescent="0.25">
      <c r="C81" s="300" t="s">
        <v>1521</v>
      </c>
      <c r="D81" s="302" t="s">
        <v>22</v>
      </c>
      <c r="E81" s="303" t="s">
        <v>270</v>
      </c>
      <c r="F81" s="303" t="s">
        <v>20</v>
      </c>
      <c r="G81" s="303" t="s">
        <v>25</v>
      </c>
      <c r="H81" s="306" t="s">
        <v>814</v>
      </c>
      <c r="I81" s="306" t="s">
        <v>23</v>
      </c>
      <c r="J81" s="306" t="s">
        <v>34</v>
      </c>
      <c r="K81" s="307" t="s">
        <v>32</v>
      </c>
    </row>
    <row r="82" spans="3:11" ht="15.75" x14ac:dyDescent="0.25">
      <c r="C82" s="300" t="s">
        <v>1520</v>
      </c>
      <c r="D82" s="302" t="s">
        <v>22</v>
      </c>
      <c r="E82" s="303" t="s">
        <v>270</v>
      </c>
      <c r="F82" s="303" t="s">
        <v>20</v>
      </c>
      <c r="G82" s="303" t="s">
        <v>25</v>
      </c>
      <c r="H82" s="306" t="s">
        <v>814</v>
      </c>
      <c r="I82" s="306" t="s">
        <v>23</v>
      </c>
      <c r="J82" s="306" t="s">
        <v>32</v>
      </c>
      <c r="K82" s="307" t="s">
        <v>33</v>
      </c>
    </row>
    <row r="83" spans="3:11" ht="15.75" x14ac:dyDescent="0.25">
      <c r="C83" s="300" t="s">
        <v>1519</v>
      </c>
      <c r="D83" s="302" t="s">
        <v>22</v>
      </c>
      <c r="E83" s="303" t="s">
        <v>270</v>
      </c>
      <c r="F83" s="303" t="s">
        <v>20</v>
      </c>
      <c r="G83" s="303" t="s">
        <v>25</v>
      </c>
      <c r="H83" s="306" t="s">
        <v>31</v>
      </c>
      <c r="I83" s="306" t="s">
        <v>23</v>
      </c>
      <c r="J83" s="306" t="s">
        <v>34</v>
      </c>
      <c r="K83" s="307" t="s">
        <v>33</v>
      </c>
    </row>
    <row r="84" spans="3:11" ht="15.75" x14ac:dyDescent="0.25">
      <c r="C84" s="300" t="s">
        <v>1518</v>
      </c>
      <c r="D84" s="302" t="s">
        <v>31</v>
      </c>
      <c r="E84" s="303" t="s">
        <v>270</v>
      </c>
      <c r="F84" s="303" t="s">
        <v>20</v>
      </c>
      <c r="G84" s="303" t="s">
        <v>25</v>
      </c>
      <c r="H84" s="306" t="s">
        <v>814</v>
      </c>
      <c r="I84" s="306" t="s">
        <v>23</v>
      </c>
      <c r="J84" s="306" t="s">
        <v>34</v>
      </c>
      <c r="K84" s="307" t="s">
        <v>22</v>
      </c>
    </row>
    <row r="85" spans="3:11" ht="15.75" x14ac:dyDescent="0.25">
      <c r="C85" s="300" t="s">
        <v>1517</v>
      </c>
      <c r="D85" s="302" t="s">
        <v>31</v>
      </c>
      <c r="E85" s="303" t="s">
        <v>270</v>
      </c>
      <c r="F85" s="303" t="s">
        <v>20</v>
      </c>
      <c r="G85" s="303" t="s">
        <v>25</v>
      </c>
      <c r="H85" s="306" t="s">
        <v>814</v>
      </c>
      <c r="I85" s="306" t="s">
        <v>23</v>
      </c>
      <c r="J85" s="306" t="s">
        <v>22</v>
      </c>
      <c r="K85" s="307" t="s">
        <v>33</v>
      </c>
    </row>
    <row r="86" spans="3:11" ht="15.75" x14ac:dyDescent="0.25">
      <c r="C86" s="300" t="s">
        <v>1516</v>
      </c>
      <c r="D86" s="302" t="s">
        <v>22</v>
      </c>
      <c r="E86" s="303" t="s">
        <v>270</v>
      </c>
      <c r="F86" s="303" t="s">
        <v>20</v>
      </c>
      <c r="G86" s="303" t="s">
        <v>25</v>
      </c>
      <c r="H86" s="306" t="s">
        <v>31</v>
      </c>
      <c r="I86" s="306" t="s">
        <v>23</v>
      </c>
      <c r="J86" s="306" t="s">
        <v>34</v>
      </c>
      <c r="K86" s="307" t="s">
        <v>32</v>
      </c>
    </row>
    <row r="87" spans="3:11" ht="15.75" x14ac:dyDescent="0.25">
      <c r="C87" s="300" t="s">
        <v>1515</v>
      </c>
      <c r="D87" s="302" t="s">
        <v>22</v>
      </c>
      <c r="E87" s="303" t="s">
        <v>270</v>
      </c>
      <c r="F87" s="303" t="s">
        <v>20</v>
      </c>
      <c r="G87" s="303" t="s">
        <v>25</v>
      </c>
      <c r="H87" s="306" t="s">
        <v>31</v>
      </c>
      <c r="I87" s="306" t="s">
        <v>23</v>
      </c>
      <c r="J87" s="306" t="s">
        <v>32</v>
      </c>
      <c r="K87" s="307" t="s">
        <v>33</v>
      </c>
    </row>
    <row r="88" spans="3:11" ht="15.75" x14ac:dyDescent="0.25">
      <c r="C88" s="300" t="s">
        <v>1514</v>
      </c>
      <c r="D88" s="302" t="s">
        <v>31</v>
      </c>
      <c r="E88" s="303" t="s">
        <v>270</v>
      </c>
      <c r="F88" s="303" t="s">
        <v>20</v>
      </c>
      <c r="G88" s="303" t="s">
        <v>25</v>
      </c>
      <c r="H88" s="306" t="s">
        <v>814</v>
      </c>
      <c r="I88" s="306" t="s">
        <v>23</v>
      </c>
      <c r="J88" s="306" t="s">
        <v>22</v>
      </c>
      <c r="K88" s="307" t="s">
        <v>32</v>
      </c>
    </row>
    <row r="89" spans="3:11" ht="15.75" x14ac:dyDescent="0.25">
      <c r="C89" s="300" t="s">
        <v>1513</v>
      </c>
      <c r="D89" s="302" t="s">
        <v>31</v>
      </c>
      <c r="E89" s="303" t="s">
        <v>814</v>
      </c>
      <c r="F89" s="303" t="s">
        <v>20</v>
      </c>
      <c r="G89" s="303" t="s">
        <v>21</v>
      </c>
      <c r="H89" s="306" t="s">
        <v>32</v>
      </c>
      <c r="I89" s="306" t="s">
        <v>270</v>
      </c>
      <c r="J89" s="306" t="s">
        <v>34</v>
      </c>
      <c r="K89" s="307" t="s">
        <v>33</v>
      </c>
    </row>
    <row r="90" spans="3:11" ht="15.75" x14ac:dyDescent="0.25">
      <c r="C90" s="300" t="s">
        <v>1512</v>
      </c>
      <c r="D90" s="302" t="s">
        <v>31</v>
      </c>
      <c r="E90" s="303" t="s">
        <v>814</v>
      </c>
      <c r="F90" s="303" t="s">
        <v>20</v>
      </c>
      <c r="G90" s="303" t="s">
        <v>21</v>
      </c>
      <c r="H90" s="306" t="s">
        <v>32</v>
      </c>
      <c r="I90" s="306" t="s">
        <v>23</v>
      </c>
      <c r="J90" s="306" t="s">
        <v>34</v>
      </c>
      <c r="K90" s="307" t="s">
        <v>33</v>
      </c>
    </row>
    <row r="91" spans="3:11" ht="15.75" x14ac:dyDescent="0.25">
      <c r="C91" s="300" t="s">
        <v>1511</v>
      </c>
      <c r="D91" s="302" t="s">
        <v>32</v>
      </c>
      <c r="E91" s="303" t="s">
        <v>270</v>
      </c>
      <c r="F91" s="303" t="s">
        <v>20</v>
      </c>
      <c r="G91" s="303" t="s">
        <v>21</v>
      </c>
      <c r="H91" s="306" t="s">
        <v>814</v>
      </c>
      <c r="I91" s="306" t="s">
        <v>23</v>
      </c>
      <c r="J91" s="306" t="s">
        <v>34</v>
      </c>
      <c r="K91" s="307" t="s">
        <v>33</v>
      </c>
    </row>
    <row r="92" spans="3:11" ht="15.75" x14ac:dyDescent="0.25">
      <c r="C92" s="300" t="s">
        <v>1510</v>
      </c>
      <c r="D92" s="302" t="s">
        <v>31</v>
      </c>
      <c r="E92" s="303" t="s">
        <v>270</v>
      </c>
      <c r="F92" s="303" t="s">
        <v>20</v>
      </c>
      <c r="G92" s="303" t="s">
        <v>21</v>
      </c>
      <c r="H92" s="306" t="s">
        <v>814</v>
      </c>
      <c r="I92" s="306" t="s">
        <v>23</v>
      </c>
      <c r="J92" s="306" t="s">
        <v>34</v>
      </c>
      <c r="K92" s="307" t="s">
        <v>33</v>
      </c>
    </row>
    <row r="93" spans="3:11" ht="15.75" x14ac:dyDescent="0.25">
      <c r="C93" s="300" t="s">
        <v>1509</v>
      </c>
      <c r="D93" s="302" t="s">
        <v>31</v>
      </c>
      <c r="E93" s="303" t="s">
        <v>270</v>
      </c>
      <c r="F93" s="303" t="s">
        <v>20</v>
      </c>
      <c r="G93" s="303" t="s">
        <v>21</v>
      </c>
      <c r="H93" s="306" t="s">
        <v>32</v>
      </c>
      <c r="I93" s="306" t="s">
        <v>23</v>
      </c>
      <c r="J93" s="306" t="s">
        <v>34</v>
      </c>
      <c r="K93" s="307" t="s">
        <v>33</v>
      </c>
    </row>
    <row r="94" spans="3:11" ht="15.75" x14ac:dyDescent="0.25">
      <c r="C94" s="300" t="s">
        <v>1508</v>
      </c>
      <c r="D94" s="302" t="s">
        <v>31</v>
      </c>
      <c r="E94" s="303" t="s">
        <v>270</v>
      </c>
      <c r="F94" s="303" t="s">
        <v>20</v>
      </c>
      <c r="G94" s="303" t="s">
        <v>21</v>
      </c>
      <c r="H94" s="306" t="s">
        <v>814</v>
      </c>
      <c r="I94" s="306" t="s">
        <v>23</v>
      </c>
      <c r="J94" s="306" t="s">
        <v>34</v>
      </c>
      <c r="K94" s="307" t="s">
        <v>32</v>
      </c>
    </row>
    <row r="95" spans="3:11" ht="15.75" x14ac:dyDescent="0.25">
      <c r="C95" s="300" t="s">
        <v>1507</v>
      </c>
      <c r="D95" s="302" t="s">
        <v>31</v>
      </c>
      <c r="E95" s="303" t="s">
        <v>270</v>
      </c>
      <c r="F95" s="303" t="s">
        <v>20</v>
      </c>
      <c r="G95" s="303" t="s">
        <v>21</v>
      </c>
      <c r="H95" s="306" t="s">
        <v>814</v>
      </c>
      <c r="I95" s="306" t="s">
        <v>23</v>
      </c>
      <c r="J95" s="306" t="s">
        <v>32</v>
      </c>
      <c r="K95" s="307" t="s">
        <v>33</v>
      </c>
    </row>
    <row r="96" spans="3:11" ht="15.75" x14ac:dyDescent="0.25">
      <c r="C96" s="300" t="s">
        <v>1506</v>
      </c>
      <c r="D96" s="302" t="s">
        <v>22</v>
      </c>
      <c r="E96" s="303" t="s">
        <v>814</v>
      </c>
      <c r="F96" s="303" t="s">
        <v>20</v>
      </c>
      <c r="G96" s="303" t="s">
        <v>21</v>
      </c>
      <c r="H96" s="306" t="s">
        <v>32</v>
      </c>
      <c r="I96" s="306" t="s">
        <v>31</v>
      </c>
      <c r="J96" s="306" t="s">
        <v>34</v>
      </c>
      <c r="K96" s="307" t="s">
        <v>33</v>
      </c>
    </row>
    <row r="97" spans="3:11" ht="15.75" x14ac:dyDescent="0.25">
      <c r="C97" s="300" t="s">
        <v>1505</v>
      </c>
      <c r="D97" s="302" t="s">
        <v>22</v>
      </c>
      <c r="E97" s="303" t="s">
        <v>814</v>
      </c>
      <c r="F97" s="303" t="s">
        <v>20</v>
      </c>
      <c r="G97" s="303" t="s">
        <v>21</v>
      </c>
      <c r="H97" s="306" t="s">
        <v>32</v>
      </c>
      <c r="I97" s="306" t="s">
        <v>270</v>
      </c>
      <c r="J97" s="306" t="s">
        <v>34</v>
      </c>
      <c r="K97" s="307" t="s">
        <v>33</v>
      </c>
    </row>
    <row r="98" spans="3:11" ht="15.75" x14ac:dyDescent="0.25">
      <c r="C98" s="300" t="s">
        <v>1504</v>
      </c>
      <c r="D98" s="302" t="s">
        <v>22</v>
      </c>
      <c r="E98" s="303" t="s">
        <v>814</v>
      </c>
      <c r="F98" s="303" t="s">
        <v>20</v>
      </c>
      <c r="G98" s="303" t="s">
        <v>21</v>
      </c>
      <c r="H98" s="306" t="s">
        <v>31</v>
      </c>
      <c r="I98" s="306" t="s">
        <v>270</v>
      </c>
      <c r="J98" s="306" t="s">
        <v>34</v>
      </c>
      <c r="K98" s="307" t="s">
        <v>33</v>
      </c>
    </row>
    <row r="99" spans="3:11" ht="15.75" x14ac:dyDescent="0.25">
      <c r="C99" s="300" t="s">
        <v>1503</v>
      </c>
      <c r="D99" s="302" t="s">
        <v>22</v>
      </c>
      <c r="E99" s="303" t="s">
        <v>270</v>
      </c>
      <c r="F99" s="303" t="s">
        <v>20</v>
      </c>
      <c r="G99" s="303" t="s">
        <v>21</v>
      </c>
      <c r="H99" s="306" t="s">
        <v>32</v>
      </c>
      <c r="I99" s="306" t="s">
        <v>31</v>
      </c>
      <c r="J99" s="306" t="s">
        <v>34</v>
      </c>
      <c r="K99" s="307" t="s">
        <v>33</v>
      </c>
    </row>
    <row r="100" spans="3:11" ht="15.75" x14ac:dyDescent="0.25">
      <c r="C100" s="300" t="s">
        <v>1502</v>
      </c>
      <c r="D100" s="302" t="s">
        <v>22</v>
      </c>
      <c r="E100" s="303" t="s">
        <v>814</v>
      </c>
      <c r="F100" s="303" t="s">
        <v>20</v>
      </c>
      <c r="G100" s="303" t="s">
        <v>21</v>
      </c>
      <c r="H100" s="306" t="s">
        <v>31</v>
      </c>
      <c r="I100" s="306" t="s">
        <v>270</v>
      </c>
      <c r="J100" s="306" t="s">
        <v>34</v>
      </c>
      <c r="K100" s="307" t="s">
        <v>32</v>
      </c>
    </row>
    <row r="101" spans="3:11" ht="15.75" x14ac:dyDescent="0.25">
      <c r="C101" s="300" t="s">
        <v>1501</v>
      </c>
      <c r="D101" s="302" t="s">
        <v>22</v>
      </c>
      <c r="E101" s="303" t="s">
        <v>814</v>
      </c>
      <c r="F101" s="303" t="s">
        <v>20</v>
      </c>
      <c r="G101" s="303" t="s">
        <v>21</v>
      </c>
      <c r="H101" s="306" t="s">
        <v>31</v>
      </c>
      <c r="I101" s="306" t="s">
        <v>270</v>
      </c>
      <c r="J101" s="306" t="s">
        <v>32</v>
      </c>
      <c r="K101" s="307" t="s">
        <v>33</v>
      </c>
    </row>
    <row r="102" spans="3:11" ht="15.75" x14ac:dyDescent="0.25">
      <c r="C102" s="300" t="s">
        <v>1500</v>
      </c>
      <c r="D102" s="302" t="s">
        <v>22</v>
      </c>
      <c r="E102" s="303" t="s">
        <v>814</v>
      </c>
      <c r="F102" s="303" t="s">
        <v>20</v>
      </c>
      <c r="G102" s="303" t="s">
        <v>21</v>
      </c>
      <c r="H102" s="306" t="s">
        <v>32</v>
      </c>
      <c r="I102" s="306" t="s">
        <v>23</v>
      </c>
      <c r="J102" s="306" t="s">
        <v>34</v>
      </c>
      <c r="K102" s="307" t="s">
        <v>33</v>
      </c>
    </row>
    <row r="103" spans="3:11" ht="15.75" x14ac:dyDescent="0.25">
      <c r="C103" s="300" t="s">
        <v>1499</v>
      </c>
      <c r="D103" s="302" t="s">
        <v>22</v>
      </c>
      <c r="E103" s="303" t="s">
        <v>814</v>
      </c>
      <c r="F103" s="303" t="s">
        <v>20</v>
      </c>
      <c r="G103" s="303" t="s">
        <v>21</v>
      </c>
      <c r="H103" s="306" t="s">
        <v>31</v>
      </c>
      <c r="I103" s="306" t="s">
        <v>23</v>
      </c>
      <c r="J103" s="306" t="s">
        <v>34</v>
      </c>
      <c r="K103" s="307" t="s">
        <v>33</v>
      </c>
    </row>
    <row r="104" spans="3:11" ht="15.75" x14ac:dyDescent="0.25">
      <c r="C104" s="300" t="s">
        <v>1498</v>
      </c>
      <c r="D104" s="302" t="s">
        <v>22</v>
      </c>
      <c r="E104" s="303" t="s">
        <v>32</v>
      </c>
      <c r="F104" s="303" t="s">
        <v>20</v>
      </c>
      <c r="G104" s="303" t="s">
        <v>21</v>
      </c>
      <c r="H104" s="306" t="s">
        <v>31</v>
      </c>
      <c r="I104" s="306" t="s">
        <v>23</v>
      </c>
      <c r="J104" s="306" t="s">
        <v>34</v>
      </c>
      <c r="K104" s="307" t="s">
        <v>33</v>
      </c>
    </row>
    <row r="105" spans="3:11" ht="15.75" x14ac:dyDescent="0.25">
      <c r="C105" s="300" t="s">
        <v>1497</v>
      </c>
      <c r="D105" s="302" t="s">
        <v>22</v>
      </c>
      <c r="E105" s="303" t="s">
        <v>814</v>
      </c>
      <c r="F105" s="303" t="s">
        <v>20</v>
      </c>
      <c r="G105" s="303" t="s">
        <v>21</v>
      </c>
      <c r="H105" s="306" t="s">
        <v>31</v>
      </c>
      <c r="I105" s="306" t="s">
        <v>23</v>
      </c>
      <c r="J105" s="306" t="s">
        <v>34</v>
      </c>
      <c r="K105" s="307" t="s">
        <v>32</v>
      </c>
    </row>
    <row r="106" spans="3:11" ht="15.75" x14ac:dyDescent="0.25">
      <c r="C106" s="300" t="s">
        <v>1496</v>
      </c>
      <c r="D106" s="302" t="s">
        <v>22</v>
      </c>
      <c r="E106" s="303" t="s">
        <v>814</v>
      </c>
      <c r="F106" s="303" t="s">
        <v>20</v>
      </c>
      <c r="G106" s="303" t="s">
        <v>21</v>
      </c>
      <c r="H106" s="306" t="s">
        <v>31</v>
      </c>
      <c r="I106" s="306" t="s">
        <v>23</v>
      </c>
      <c r="J106" s="306" t="s">
        <v>32</v>
      </c>
      <c r="K106" s="307" t="s">
        <v>33</v>
      </c>
    </row>
    <row r="107" spans="3:11" ht="15.75" x14ac:dyDescent="0.25">
      <c r="C107" s="300" t="s">
        <v>1495</v>
      </c>
      <c r="D107" s="302" t="s">
        <v>22</v>
      </c>
      <c r="E107" s="303" t="s">
        <v>270</v>
      </c>
      <c r="F107" s="303" t="s">
        <v>20</v>
      </c>
      <c r="G107" s="303" t="s">
        <v>21</v>
      </c>
      <c r="H107" s="306" t="s">
        <v>814</v>
      </c>
      <c r="I107" s="306" t="s">
        <v>23</v>
      </c>
      <c r="J107" s="306" t="s">
        <v>34</v>
      </c>
      <c r="K107" s="307" t="s">
        <v>33</v>
      </c>
    </row>
    <row r="108" spans="3:11" ht="15.75" x14ac:dyDescent="0.25">
      <c r="C108" s="300" t="s">
        <v>1494</v>
      </c>
      <c r="D108" s="302" t="s">
        <v>22</v>
      </c>
      <c r="E108" s="303" t="s">
        <v>270</v>
      </c>
      <c r="F108" s="303" t="s">
        <v>20</v>
      </c>
      <c r="G108" s="303" t="s">
        <v>21</v>
      </c>
      <c r="H108" s="306" t="s">
        <v>32</v>
      </c>
      <c r="I108" s="306" t="s">
        <v>23</v>
      </c>
      <c r="J108" s="306" t="s">
        <v>34</v>
      </c>
      <c r="K108" s="307" t="s">
        <v>33</v>
      </c>
    </row>
    <row r="109" spans="3:11" ht="15.75" x14ac:dyDescent="0.25">
      <c r="C109" s="300" t="s">
        <v>1493</v>
      </c>
      <c r="D109" s="302" t="s">
        <v>22</v>
      </c>
      <c r="E109" s="303" t="s">
        <v>270</v>
      </c>
      <c r="F109" s="303" t="s">
        <v>20</v>
      </c>
      <c r="G109" s="303" t="s">
        <v>21</v>
      </c>
      <c r="H109" s="306" t="s">
        <v>814</v>
      </c>
      <c r="I109" s="306" t="s">
        <v>23</v>
      </c>
      <c r="J109" s="306" t="s">
        <v>34</v>
      </c>
      <c r="K109" s="307" t="s">
        <v>32</v>
      </c>
    </row>
    <row r="110" spans="3:11" ht="15.75" x14ac:dyDescent="0.25">
      <c r="C110" s="300" t="s">
        <v>1492</v>
      </c>
      <c r="D110" s="302" t="s">
        <v>22</v>
      </c>
      <c r="E110" s="303" t="s">
        <v>270</v>
      </c>
      <c r="F110" s="303" t="s">
        <v>20</v>
      </c>
      <c r="G110" s="303" t="s">
        <v>21</v>
      </c>
      <c r="H110" s="306" t="s">
        <v>814</v>
      </c>
      <c r="I110" s="306" t="s">
        <v>23</v>
      </c>
      <c r="J110" s="306" t="s">
        <v>32</v>
      </c>
      <c r="K110" s="307" t="s">
        <v>33</v>
      </c>
    </row>
    <row r="111" spans="3:11" ht="15.75" x14ac:dyDescent="0.25">
      <c r="C111" s="300" t="s">
        <v>1491</v>
      </c>
      <c r="D111" s="302" t="s">
        <v>22</v>
      </c>
      <c r="E111" s="303" t="s">
        <v>270</v>
      </c>
      <c r="F111" s="303" t="s">
        <v>20</v>
      </c>
      <c r="G111" s="303" t="s">
        <v>21</v>
      </c>
      <c r="H111" s="306" t="s">
        <v>31</v>
      </c>
      <c r="I111" s="306" t="s">
        <v>23</v>
      </c>
      <c r="J111" s="306" t="s">
        <v>34</v>
      </c>
      <c r="K111" s="307" t="s">
        <v>33</v>
      </c>
    </row>
    <row r="112" spans="3:11" ht="15.75" x14ac:dyDescent="0.25">
      <c r="C112" s="300" t="s">
        <v>1490</v>
      </c>
      <c r="D112" s="302" t="s">
        <v>31</v>
      </c>
      <c r="E112" s="303" t="s">
        <v>270</v>
      </c>
      <c r="F112" s="303" t="s">
        <v>20</v>
      </c>
      <c r="G112" s="303" t="s">
        <v>21</v>
      </c>
      <c r="H112" s="306" t="s">
        <v>814</v>
      </c>
      <c r="I112" s="306" t="s">
        <v>23</v>
      </c>
      <c r="J112" s="306" t="s">
        <v>34</v>
      </c>
      <c r="K112" s="307" t="s">
        <v>22</v>
      </c>
    </row>
    <row r="113" spans="3:11" ht="15.75" x14ac:dyDescent="0.25">
      <c r="C113" s="300" t="s">
        <v>1489</v>
      </c>
      <c r="D113" s="302" t="s">
        <v>31</v>
      </c>
      <c r="E113" s="303" t="s">
        <v>270</v>
      </c>
      <c r="F113" s="303" t="s">
        <v>20</v>
      </c>
      <c r="G113" s="303" t="s">
        <v>21</v>
      </c>
      <c r="H113" s="306" t="s">
        <v>814</v>
      </c>
      <c r="I113" s="306" t="s">
        <v>23</v>
      </c>
      <c r="J113" s="306" t="s">
        <v>22</v>
      </c>
      <c r="K113" s="307" t="s">
        <v>33</v>
      </c>
    </row>
    <row r="114" spans="3:11" ht="15.75" x14ac:dyDescent="0.25">
      <c r="C114" s="300" t="s">
        <v>1488</v>
      </c>
      <c r="D114" s="302" t="s">
        <v>22</v>
      </c>
      <c r="E114" s="303" t="s">
        <v>270</v>
      </c>
      <c r="F114" s="303" t="s">
        <v>20</v>
      </c>
      <c r="G114" s="303" t="s">
        <v>21</v>
      </c>
      <c r="H114" s="306" t="s">
        <v>31</v>
      </c>
      <c r="I114" s="306" t="s">
        <v>23</v>
      </c>
      <c r="J114" s="306" t="s">
        <v>34</v>
      </c>
      <c r="K114" s="307" t="s">
        <v>32</v>
      </c>
    </row>
    <row r="115" spans="3:11" ht="15.75" x14ac:dyDescent="0.25">
      <c r="C115" s="300" t="s">
        <v>1487</v>
      </c>
      <c r="D115" s="302" t="s">
        <v>22</v>
      </c>
      <c r="E115" s="303" t="s">
        <v>270</v>
      </c>
      <c r="F115" s="303" t="s">
        <v>20</v>
      </c>
      <c r="G115" s="303" t="s">
        <v>21</v>
      </c>
      <c r="H115" s="306" t="s">
        <v>31</v>
      </c>
      <c r="I115" s="306" t="s">
        <v>23</v>
      </c>
      <c r="J115" s="306" t="s">
        <v>32</v>
      </c>
      <c r="K115" s="307" t="s">
        <v>33</v>
      </c>
    </row>
    <row r="116" spans="3:11" ht="15.75" x14ac:dyDescent="0.25">
      <c r="C116" s="300" t="s">
        <v>1486</v>
      </c>
      <c r="D116" s="302" t="s">
        <v>31</v>
      </c>
      <c r="E116" s="303" t="s">
        <v>270</v>
      </c>
      <c r="F116" s="303" t="s">
        <v>20</v>
      </c>
      <c r="G116" s="303" t="s">
        <v>21</v>
      </c>
      <c r="H116" s="306" t="s">
        <v>814</v>
      </c>
      <c r="I116" s="306" t="s">
        <v>23</v>
      </c>
      <c r="J116" s="306" t="s">
        <v>22</v>
      </c>
      <c r="K116" s="307" t="s">
        <v>32</v>
      </c>
    </row>
    <row r="117" spans="3:11" ht="15.75" x14ac:dyDescent="0.25">
      <c r="C117" s="300" t="s">
        <v>1485</v>
      </c>
      <c r="D117" s="302" t="s">
        <v>31</v>
      </c>
      <c r="E117" s="303" t="s">
        <v>814</v>
      </c>
      <c r="F117" s="303" t="s">
        <v>20</v>
      </c>
      <c r="G117" s="303" t="s">
        <v>21</v>
      </c>
      <c r="H117" s="306" t="s">
        <v>32</v>
      </c>
      <c r="I117" s="306" t="s">
        <v>25</v>
      </c>
      <c r="J117" s="306" t="s">
        <v>34</v>
      </c>
      <c r="K117" s="307" t="s">
        <v>33</v>
      </c>
    </row>
    <row r="118" spans="3:11" ht="15.75" x14ac:dyDescent="0.25">
      <c r="C118" s="300" t="s">
        <v>1484</v>
      </c>
      <c r="D118" s="302" t="s">
        <v>32</v>
      </c>
      <c r="E118" s="303" t="s">
        <v>270</v>
      </c>
      <c r="F118" s="303" t="s">
        <v>20</v>
      </c>
      <c r="G118" s="303" t="s">
        <v>21</v>
      </c>
      <c r="H118" s="306" t="s">
        <v>814</v>
      </c>
      <c r="I118" s="306" t="s">
        <v>25</v>
      </c>
      <c r="J118" s="306" t="s">
        <v>34</v>
      </c>
      <c r="K118" s="307" t="s">
        <v>33</v>
      </c>
    </row>
    <row r="119" spans="3:11" ht="15.75" x14ac:dyDescent="0.25">
      <c r="C119" s="300" t="s">
        <v>1483</v>
      </c>
      <c r="D119" s="302" t="s">
        <v>31</v>
      </c>
      <c r="E119" s="303" t="s">
        <v>270</v>
      </c>
      <c r="F119" s="303" t="s">
        <v>20</v>
      </c>
      <c r="G119" s="303" t="s">
        <v>21</v>
      </c>
      <c r="H119" s="306" t="s">
        <v>814</v>
      </c>
      <c r="I119" s="306" t="s">
        <v>25</v>
      </c>
      <c r="J119" s="306" t="s">
        <v>34</v>
      </c>
      <c r="K119" s="307" t="s">
        <v>33</v>
      </c>
    </row>
    <row r="120" spans="3:11" ht="15.75" x14ac:dyDescent="0.25">
      <c r="C120" s="300" t="s">
        <v>1482</v>
      </c>
      <c r="D120" s="302" t="s">
        <v>31</v>
      </c>
      <c r="E120" s="303" t="s">
        <v>270</v>
      </c>
      <c r="F120" s="303" t="s">
        <v>20</v>
      </c>
      <c r="G120" s="303" t="s">
        <v>21</v>
      </c>
      <c r="H120" s="306" t="s">
        <v>32</v>
      </c>
      <c r="I120" s="306" t="s">
        <v>25</v>
      </c>
      <c r="J120" s="306" t="s">
        <v>34</v>
      </c>
      <c r="K120" s="307" t="s">
        <v>33</v>
      </c>
    </row>
    <row r="121" spans="3:11" ht="15.75" x14ac:dyDescent="0.25">
      <c r="C121" s="300" t="s">
        <v>1481</v>
      </c>
      <c r="D121" s="302" t="s">
        <v>31</v>
      </c>
      <c r="E121" s="303" t="s">
        <v>270</v>
      </c>
      <c r="F121" s="303" t="s">
        <v>20</v>
      </c>
      <c r="G121" s="303" t="s">
        <v>21</v>
      </c>
      <c r="H121" s="306" t="s">
        <v>814</v>
      </c>
      <c r="I121" s="306" t="s">
        <v>25</v>
      </c>
      <c r="J121" s="306" t="s">
        <v>34</v>
      </c>
      <c r="K121" s="307" t="s">
        <v>32</v>
      </c>
    </row>
    <row r="122" spans="3:11" ht="15.75" x14ac:dyDescent="0.25">
      <c r="C122" s="300" t="s">
        <v>1480</v>
      </c>
      <c r="D122" s="302" t="s">
        <v>31</v>
      </c>
      <c r="E122" s="303" t="s">
        <v>270</v>
      </c>
      <c r="F122" s="303" t="s">
        <v>20</v>
      </c>
      <c r="G122" s="303" t="s">
        <v>21</v>
      </c>
      <c r="H122" s="306" t="s">
        <v>814</v>
      </c>
      <c r="I122" s="306" t="s">
        <v>25</v>
      </c>
      <c r="J122" s="306" t="s">
        <v>32</v>
      </c>
      <c r="K122" s="307" t="s">
        <v>33</v>
      </c>
    </row>
    <row r="123" spans="3:11" ht="15.75" x14ac:dyDescent="0.25">
      <c r="C123" s="300" t="s">
        <v>1479</v>
      </c>
      <c r="D123" s="302" t="s">
        <v>21</v>
      </c>
      <c r="E123" s="303" t="s">
        <v>814</v>
      </c>
      <c r="F123" s="303" t="s">
        <v>20</v>
      </c>
      <c r="G123" s="303" t="s">
        <v>25</v>
      </c>
      <c r="H123" s="306" t="s">
        <v>32</v>
      </c>
      <c r="I123" s="306" t="s">
        <v>23</v>
      </c>
      <c r="J123" s="306" t="s">
        <v>34</v>
      </c>
      <c r="K123" s="307" t="s">
        <v>33</v>
      </c>
    </row>
    <row r="124" spans="3:11" ht="15.75" x14ac:dyDescent="0.25">
      <c r="C124" s="300" t="s">
        <v>1478</v>
      </c>
      <c r="D124" s="302" t="s">
        <v>21</v>
      </c>
      <c r="E124" s="303" t="s">
        <v>814</v>
      </c>
      <c r="F124" s="303" t="s">
        <v>20</v>
      </c>
      <c r="G124" s="303" t="s">
        <v>25</v>
      </c>
      <c r="H124" s="306" t="s">
        <v>31</v>
      </c>
      <c r="I124" s="306" t="s">
        <v>23</v>
      </c>
      <c r="J124" s="306" t="s">
        <v>34</v>
      </c>
      <c r="K124" s="307" t="s">
        <v>33</v>
      </c>
    </row>
    <row r="125" spans="3:11" ht="15.75" x14ac:dyDescent="0.25">
      <c r="C125" s="300" t="s">
        <v>1477</v>
      </c>
      <c r="D125" s="302" t="s">
        <v>21</v>
      </c>
      <c r="E125" s="303" t="s">
        <v>32</v>
      </c>
      <c r="F125" s="303" t="s">
        <v>20</v>
      </c>
      <c r="G125" s="303" t="s">
        <v>25</v>
      </c>
      <c r="H125" s="306" t="s">
        <v>31</v>
      </c>
      <c r="I125" s="306" t="s">
        <v>23</v>
      </c>
      <c r="J125" s="306" t="s">
        <v>34</v>
      </c>
      <c r="K125" s="307" t="s">
        <v>33</v>
      </c>
    </row>
    <row r="126" spans="3:11" ht="15.75" x14ac:dyDescent="0.25">
      <c r="C126" s="300" t="s">
        <v>1476</v>
      </c>
      <c r="D126" s="302" t="s">
        <v>21</v>
      </c>
      <c r="E126" s="303" t="s">
        <v>814</v>
      </c>
      <c r="F126" s="303" t="s">
        <v>20</v>
      </c>
      <c r="G126" s="303" t="s">
        <v>25</v>
      </c>
      <c r="H126" s="306" t="s">
        <v>31</v>
      </c>
      <c r="I126" s="306" t="s">
        <v>23</v>
      </c>
      <c r="J126" s="306" t="s">
        <v>34</v>
      </c>
      <c r="K126" s="307" t="s">
        <v>32</v>
      </c>
    </row>
    <row r="127" spans="3:11" ht="15.75" x14ac:dyDescent="0.25">
      <c r="C127" s="300" t="s">
        <v>1475</v>
      </c>
      <c r="D127" s="302" t="s">
        <v>21</v>
      </c>
      <c r="E127" s="303" t="s">
        <v>814</v>
      </c>
      <c r="F127" s="303" t="s">
        <v>20</v>
      </c>
      <c r="G127" s="303" t="s">
        <v>25</v>
      </c>
      <c r="H127" s="306" t="s">
        <v>31</v>
      </c>
      <c r="I127" s="306" t="s">
        <v>23</v>
      </c>
      <c r="J127" s="306" t="s">
        <v>32</v>
      </c>
      <c r="K127" s="307" t="s">
        <v>33</v>
      </c>
    </row>
    <row r="128" spans="3:11" ht="15.75" x14ac:dyDescent="0.25">
      <c r="C128" s="300" t="s">
        <v>1474</v>
      </c>
      <c r="D128" s="302" t="s">
        <v>21</v>
      </c>
      <c r="E128" s="303" t="s">
        <v>270</v>
      </c>
      <c r="F128" s="303" t="s">
        <v>20</v>
      </c>
      <c r="G128" s="303" t="s">
        <v>25</v>
      </c>
      <c r="H128" s="306" t="s">
        <v>814</v>
      </c>
      <c r="I128" s="306" t="s">
        <v>23</v>
      </c>
      <c r="J128" s="306" t="s">
        <v>34</v>
      </c>
      <c r="K128" s="307" t="s">
        <v>33</v>
      </c>
    </row>
    <row r="129" spans="3:11" ht="15.75" x14ac:dyDescent="0.25">
      <c r="C129" s="300" t="s">
        <v>1473</v>
      </c>
      <c r="D129" s="302" t="s">
        <v>21</v>
      </c>
      <c r="E129" s="303" t="s">
        <v>270</v>
      </c>
      <c r="F129" s="303" t="s">
        <v>20</v>
      </c>
      <c r="G129" s="303" t="s">
        <v>25</v>
      </c>
      <c r="H129" s="306" t="s">
        <v>32</v>
      </c>
      <c r="I129" s="306" t="s">
        <v>23</v>
      </c>
      <c r="J129" s="306" t="s">
        <v>34</v>
      </c>
      <c r="K129" s="307" t="s">
        <v>33</v>
      </c>
    </row>
    <row r="130" spans="3:11" ht="15.75" x14ac:dyDescent="0.25">
      <c r="C130" s="300" t="s">
        <v>1472</v>
      </c>
      <c r="D130" s="302" t="s">
        <v>21</v>
      </c>
      <c r="E130" s="303" t="s">
        <v>270</v>
      </c>
      <c r="F130" s="303" t="s">
        <v>20</v>
      </c>
      <c r="G130" s="303" t="s">
        <v>25</v>
      </c>
      <c r="H130" s="306" t="s">
        <v>814</v>
      </c>
      <c r="I130" s="306" t="s">
        <v>23</v>
      </c>
      <c r="J130" s="306" t="s">
        <v>34</v>
      </c>
      <c r="K130" s="307" t="s">
        <v>32</v>
      </c>
    </row>
    <row r="131" spans="3:11" ht="15.75" x14ac:dyDescent="0.25">
      <c r="C131" s="300" t="s">
        <v>1471</v>
      </c>
      <c r="D131" s="302" t="s">
        <v>21</v>
      </c>
      <c r="E131" s="303" t="s">
        <v>270</v>
      </c>
      <c r="F131" s="303" t="s">
        <v>20</v>
      </c>
      <c r="G131" s="303" t="s">
        <v>25</v>
      </c>
      <c r="H131" s="306" t="s">
        <v>814</v>
      </c>
      <c r="I131" s="306" t="s">
        <v>23</v>
      </c>
      <c r="J131" s="306" t="s">
        <v>32</v>
      </c>
      <c r="K131" s="307" t="s">
        <v>33</v>
      </c>
    </row>
    <row r="132" spans="3:11" ht="15.75" x14ac:dyDescent="0.25">
      <c r="C132" s="300" t="s">
        <v>1470</v>
      </c>
      <c r="D132" s="302" t="s">
        <v>21</v>
      </c>
      <c r="E132" s="303" t="s">
        <v>270</v>
      </c>
      <c r="F132" s="303" t="s">
        <v>20</v>
      </c>
      <c r="G132" s="303" t="s">
        <v>25</v>
      </c>
      <c r="H132" s="306" t="s">
        <v>31</v>
      </c>
      <c r="I132" s="306" t="s">
        <v>23</v>
      </c>
      <c r="J132" s="306" t="s">
        <v>34</v>
      </c>
      <c r="K132" s="307" t="s">
        <v>33</v>
      </c>
    </row>
    <row r="133" spans="3:11" ht="15.75" x14ac:dyDescent="0.25">
      <c r="C133" s="300" t="s">
        <v>1469</v>
      </c>
      <c r="D133" s="302" t="s">
        <v>21</v>
      </c>
      <c r="E133" s="303" t="s">
        <v>270</v>
      </c>
      <c r="F133" s="303" t="s">
        <v>20</v>
      </c>
      <c r="G133" s="303" t="s">
        <v>25</v>
      </c>
      <c r="H133" s="306" t="s">
        <v>31</v>
      </c>
      <c r="I133" s="306" t="s">
        <v>23</v>
      </c>
      <c r="J133" s="306" t="s">
        <v>34</v>
      </c>
      <c r="K133" s="307" t="s">
        <v>814</v>
      </c>
    </row>
    <row r="134" spans="3:11" ht="15.75" x14ac:dyDescent="0.25">
      <c r="C134" s="300" t="s">
        <v>1468</v>
      </c>
      <c r="D134" s="302" t="s">
        <v>31</v>
      </c>
      <c r="E134" s="303" t="s">
        <v>270</v>
      </c>
      <c r="F134" s="303" t="s">
        <v>20</v>
      </c>
      <c r="G134" s="303" t="s">
        <v>21</v>
      </c>
      <c r="H134" s="306" t="s">
        <v>814</v>
      </c>
      <c r="I134" s="306" t="s">
        <v>23</v>
      </c>
      <c r="J134" s="306" t="s">
        <v>25</v>
      </c>
      <c r="K134" s="307" t="s">
        <v>33</v>
      </c>
    </row>
    <row r="135" spans="3:11" ht="15.75" x14ac:dyDescent="0.25">
      <c r="C135" s="300" t="s">
        <v>1467</v>
      </c>
      <c r="D135" s="302" t="s">
        <v>21</v>
      </c>
      <c r="E135" s="303" t="s">
        <v>270</v>
      </c>
      <c r="F135" s="303" t="s">
        <v>20</v>
      </c>
      <c r="G135" s="303" t="s">
        <v>25</v>
      </c>
      <c r="H135" s="306" t="s">
        <v>31</v>
      </c>
      <c r="I135" s="306" t="s">
        <v>23</v>
      </c>
      <c r="J135" s="306" t="s">
        <v>34</v>
      </c>
      <c r="K135" s="307" t="s">
        <v>32</v>
      </c>
    </row>
    <row r="136" spans="3:11" ht="15.75" x14ac:dyDescent="0.25">
      <c r="C136" s="300" t="s">
        <v>1466</v>
      </c>
      <c r="D136" s="302" t="s">
        <v>21</v>
      </c>
      <c r="E136" s="303" t="s">
        <v>270</v>
      </c>
      <c r="F136" s="303" t="s">
        <v>20</v>
      </c>
      <c r="G136" s="303" t="s">
        <v>25</v>
      </c>
      <c r="H136" s="306" t="s">
        <v>31</v>
      </c>
      <c r="I136" s="306" t="s">
        <v>23</v>
      </c>
      <c r="J136" s="306" t="s">
        <v>32</v>
      </c>
      <c r="K136" s="307" t="s">
        <v>33</v>
      </c>
    </row>
    <row r="137" spans="3:11" ht="15.75" x14ac:dyDescent="0.25">
      <c r="C137" s="300" t="s">
        <v>1465</v>
      </c>
      <c r="D137" s="302" t="s">
        <v>31</v>
      </c>
      <c r="E137" s="303" t="s">
        <v>270</v>
      </c>
      <c r="F137" s="303" t="s">
        <v>20</v>
      </c>
      <c r="G137" s="303" t="s">
        <v>21</v>
      </c>
      <c r="H137" s="306" t="s">
        <v>814</v>
      </c>
      <c r="I137" s="306" t="s">
        <v>23</v>
      </c>
      <c r="J137" s="306" t="s">
        <v>25</v>
      </c>
      <c r="K137" s="307" t="s">
        <v>32</v>
      </c>
    </row>
    <row r="138" spans="3:11" ht="15.75" x14ac:dyDescent="0.25">
      <c r="C138" s="300" t="s">
        <v>1464</v>
      </c>
      <c r="D138" s="302" t="s">
        <v>22</v>
      </c>
      <c r="E138" s="303" t="s">
        <v>814</v>
      </c>
      <c r="F138" s="303" t="s">
        <v>20</v>
      </c>
      <c r="G138" s="303" t="s">
        <v>21</v>
      </c>
      <c r="H138" s="306" t="s">
        <v>32</v>
      </c>
      <c r="I138" s="306" t="s">
        <v>25</v>
      </c>
      <c r="J138" s="306" t="s">
        <v>34</v>
      </c>
      <c r="K138" s="307" t="s">
        <v>33</v>
      </c>
    </row>
    <row r="139" spans="3:11" ht="15.75" x14ac:dyDescent="0.25">
      <c r="C139" s="300" t="s">
        <v>1463</v>
      </c>
      <c r="D139" s="302" t="s">
        <v>22</v>
      </c>
      <c r="E139" s="303" t="s">
        <v>814</v>
      </c>
      <c r="F139" s="303" t="s">
        <v>20</v>
      </c>
      <c r="G139" s="303" t="s">
        <v>21</v>
      </c>
      <c r="H139" s="306" t="s">
        <v>31</v>
      </c>
      <c r="I139" s="306" t="s">
        <v>25</v>
      </c>
      <c r="J139" s="306" t="s">
        <v>34</v>
      </c>
      <c r="K139" s="307" t="s">
        <v>33</v>
      </c>
    </row>
    <row r="140" spans="3:11" ht="15.75" x14ac:dyDescent="0.25">
      <c r="C140" s="300" t="s">
        <v>1462</v>
      </c>
      <c r="D140" s="302" t="s">
        <v>22</v>
      </c>
      <c r="E140" s="303" t="s">
        <v>32</v>
      </c>
      <c r="F140" s="303" t="s">
        <v>20</v>
      </c>
      <c r="G140" s="303" t="s">
        <v>21</v>
      </c>
      <c r="H140" s="306" t="s">
        <v>31</v>
      </c>
      <c r="I140" s="306" t="s">
        <v>25</v>
      </c>
      <c r="J140" s="306" t="s">
        <v>34</v>
      </c>
      <c r="K140" s="307" t="s">
        <v>33</v>
      </c>
    </row>
    <row r="141" spans="3:11" ht="15.75" x14ac:dyDescent="0.25">
      <c r="C141" s="300" t="s">
        <v>1461</v>
      </c>
      <c r="D141" s="302" t="s">
        <v>22</v>
      </c>
      <c r="E141" s="303" t="s">
        <v>814</v>
      </c>
      <c r="F141" s="303" t="s">
        <v>20</v>
      </c>
      <c r="G141" s="303" t="s">
        <v>21</v>
      </c>
      <c r="H141" s="306" t="s">
        <v>31</v>
      </c>
      <c r="I141" s="306" t="s">
        <v>25</v>
      </c>
      <c r="J141" s="306" t="s">
        <v>34</v>
      </c>
      <c r="K141" s="307" t="s">
        <v>32</v>
      </c>
    </row>
    <row r="142" spans="3:11" ht="15.75" x14ac:dyDescent="0.25">
      <c r="C142" s="300" t="s">
        <v>1460</v>
      </c>
      <c r="D142" s="302" t="s">
        <v>22</v>
      </c>
      <c r="E142" s="303" t="s">
        <v>814</v>
      </c>
      <c r="F142" s="303" t="s">
        <v>20</v>
      </c>
      <c r="G142" s="303" t="s">
        <v>21</v>
      </c>
      <c r="H142" s="306" t="s">
        <v>31</v>
      </c>
      <c r="I142" s="306" t="s">
        <v>25</v>
      </c>
      <c r="J142" s="306" t="s">
        <v>32</v>
      </c>
      <c r="K142" s="307" t="s">
        <v>33</v>
      </c>
    </row>
    <row r="143" spans="3:11" ht="15.75" x14ac:dyDescent="0.25">
      <c r="C143" s="300" t="s">
        <v>1459</v>
      </c>
      <c r="D143" s="302" t="s">
        <v>22</v>
      </c>
      <c r="E143" s="303" t="s">
        <v>270</v>
      </c>
      <c r="F143" s="303" t="s">
        <v>20</v>
      </c>
      <c r="G143" s="303" t="s">
        <v>21</v>
      </c>
      <c r="H143" s="306" t="s">
        <v>814</v>
      </c>
      <c r="I143" s="306" t="s">
        <v>25</v>
      </c>
      <c r="J143" s="306" t="s">
        <v>34</v>
      </c>
      <c r="K143" s="307" t="s">
        <v>33</v>
      </c>
    </row>
    <row r="144" spans="3:11" ht="15.75" x14ac:dyDescent="0.25">
      <c r="C144" s="300" t="s">
        <v>1458</v>
      </c>
      <c r="D144" s="302" t="s">
        <v>22</v>
      </c>
      <c r="E144" s="303" t="s">
        <v>270</v>
      </c>
      <c r="F144" s="303" t="s">
        <v>20</v>
      </c>
      <c r="G144" s="303" t="s">
        <v>21</v>
      </c>
      <c r="H144" s="306" t="s">
        <v>32</v>
      </c>
      <c r="I144" s="306" t="s">
        <v>25</v>
      </c>
      <c r="J144" s="306" t="s">
        <v>34</v>
      </c>
      <c r="K144" s="307" t="s">
        <v>33</v>
      </c>
    </row>
    <row r="145" spans="3:11" ht="15.75" x14ac:dyDescent="0.25">
      <c r="C145" s="300" t="s">
        <v>1457</v>
      </c>
      <c r="D145" s="302" t="s">
        <v>22</v>
      </c>
      <c r="E145" s="303" t="s">
        <v>270</v>
      </c>
      <c r="F145" s="303" t="s">
        <v>20</v>
      </c>
      <c r="G145" s="303" t="s">
        <v>21</v>
      </c>
      <c r="H145" s="306" t="s">
        <v>814</v>
      </c>
      <c r="I145" s="306" t="s">
        <v>25</v>
      </c>
      <c r="J145" s="306" t="s">
        <v>34</v>
      </c>
      <c r="K145" s="307" t="s">
        <v>32</v>
      </c>
    </row>
    <row r="146" spans="3:11" ht="15.75" x14ac:dyDescent="0.25">
      <c r="C146" s="300" t="s">
        <v>1456</v>
      </c>
      <c r="D146" s="302" t="s">
        <v>22</v>
      </c>
      <c r="E146" s="303" t="s">
        <v>270</v>
      </c>
      <c r="F146" s="303" t="s">
        <v>20</v>
      </c>
      <c r="G146" s="303" t="s">
        <v>21</v>
      </c>
      <c r="H146" s="306" t="s">
        <v>814</v>
      </c>
      <c r="I146" s="306" t="s">
        <v>25</v>
      </c>
      <c r="J146" s="306" t="s">
        <v>32</v>
      </c>
      <c r="K146" s="307" t="s">
        <v>33</v>
      </c>
    </row>
    <row r="147" spans="3:11" ht="15.75" x14ac:dyDescent="0.25">
      <c r="C147" s="300" t="s">
        <v>1455</v>
      </c>
      <c r="D147" s="302" t="s">
        <v>22</v>
      </c>
      <c r="E147" s="303" t="s">
        <v>270</v>
      </c>
      <c r="F147" s="303" t="s">
        <v>20</v>
      </c>
      <c r="G147" s="303" t="s">
        <v>21</v>
      </c>
      <c r="H147" s="306" t="s">
        <v>31</v>
      </c>
      <c r="I147" s="306" t="s">
        <v>25</v>
      </c>
      <c r="J147" s="306" t="s">
        <v>34</v>
      </c>
      <c r="K147" s="307" t="s">
        <v>33</v>
      </c>
    </row>
    <row r="148" spans="3:11" ht="15.75" x14ac:dyDescent="0.25">
      <c r="C148" s="300" t="s">
        <v>1454</v>
      </c>
      <c r="D148" s="302" t="s">
        <v>31</v>
      </c>
      <c r="E148" s="303" t="s">
        <v>270</v>
      </c>
      <c r="F148" s="303" t="s">
        <v>20</v>
      </c>
      <c r="G148" s="303" t="s">
        <v>21</v>
      </c>
      <c r="H148" s="306" t="s">
        <v>814</v>
      </c>
      <c r="I148" s="306" t="s">
        <v>25</v>
      </c>
      <c r="J148" s="306" t="s">
        <v>34</v>
      </c>
      <c r="K148" s="307" t="s">
        <v>22</v>
      </c>
    </row>
    <row r="149" spans="3:11" ht="15.75" x14ac:dyDescent="0.25">
      <c r="C149" s="300" t="s">
        <v>1453</v>
      </c>
      <c r="D149" s="302" t="s">
        <v>31</v>
      </c>
      <c r="E149" s="303" t="s">
        <v>270</v>
      </c>
      <c r="F149" s="303" t="s">
        <v>20</v>
      </c>
      <c r="G149" s="303" t="s">
        <v>21</v>
      </c>
      <c r="H149" s="306" t="s">
        <v>814</v>
      </c>
      <c r="I149" s="306" t="s">
        <v>25</v>
      </c>
      <c r="J149" s="306" t="s">
        <v>22</v>
      </c>
      <c r="K149" s="307" t="s">
        <v>33</v>
      </c>
    </row>
    <row r="150" spans="3:11" ht="15.75" x14ac:dyDescent="0.25">
      <c r="C150" s="300" t="s">
        <v>1452</v>
      </c>
      <c r="D150" s="302" t="s">
        <v>22</v>
      </c>
      <c r="E150" s="303" t="s">
        <v>270</v>
      </c>
      <c r="F150" s="303" t="s">
        <v>20</v>
      </c>
      <c r="G150" s="303" t="s">
        <v>21</v>
      </c>
      <c r="H150" s="306" t="s">
        <v>31</v>
      </c>
      <c r="I150" s="306" t="s">
        <v>25</v>
      </c>
      <c r="J150" s="306" t="s">
        <v>34</v>
      </c>
      <c r="K150" s="307" t="s">
        <v>32</v>
      </c>
    </row>
    <row r="151" spans="3:11" ht="15.75" x14ac:dyDescent="0.25">
      <c r="C151" s="300" t="s">
        <v>1451</v>
      </c>
      <c r="D151" s="302" t="s">
        <v>22</v>
      </c>
      <c r="E151" s="303" t="s">
        <v>270</v>
      </c>
      <c r="F151" s="303" t="s">
        <v>20</v>
      </c>
      <c r="G151" s="303" t="s">
        <v>21</v>
      </c>
      <c r="H151" s="306" t="s">
        <v>31</v>
      </c>
      <c r="I151" s="306" t="s">
        <v>25</v>
      </c>
      <c r="J151" s="306" t="s">
        <v>32</v>
      </c>
      <c r="K151" s="307" t="s">
        <v>33</v>
      </c>
    </row>
    <row r="152" spans="3:11" ht="15.75" x14ac:dyDescent="0.25">
      <c r="C152" s="300" t="s">
        <v>1450</v>
      </c>
      <c r="D152" s="302" t="s">
        <v>31</v>
      </c>
      <c r="E152" s="303" t="s">
        <v>270</v>
      </c>
      <c r="F152" s="303" t="s">
        <v>20</v>
      </c>
      <c r="G152" s="303" t="s">
        <v>21</v>
      </c>
      <c r="H152" s="306" t="s">
        <v>814</v>
      </c>
      <c r="I152" s="306" t="s">
        <v>25</v>
      </c>
      <c r="J152" s="306" t="s">
        <v>22</v>
      </c>
      <c r="K152" s="307" t="s">
        <v>32</v>
      </c>
    </row>
    <row r="153" spans="3:11" ht="15.75" x14ac:dyDescent="0.25">
      <c r="C153" s="300" t="s">
        <v>1449</v>
      </c>
      <c r="D153" s="302" t="s">
        <v>21</v>
      </c>
      <c r="E153" s="303" t="s">
        <v>814</v>
      </c>
      <c r="F153" s="303" t="s">
        <v>20</v>
      </c>
      <c r="G153" s="303" t="s">
        <v>25</v>
      </c>
      <c r="H153" s="306" t="s">
        <v>22</v>
      </c>
      <c r="I153" s="306" t="s">
        <v>23</v>
      </c>
      <c r="J153" s="306" t="s">
        <v>34</v>
      </c>
      <c r="K153" s="307" t="s">
        <v>33</v>
      </c>
    </row>
    <row r="154" spans="3:11" ht="15.75" x14ac:dyDescent="0.25">
      <c r="C154" s="300" t="s">
        <v>1448</v>
      </c>
      <c r="D154" s="302" t="s">
        <v>21</v>
      </c>
      <c r="E154" s="303" t="s">
        <v>22</v>
      </c>
      <c r="F154" s="303" t="s">
        <v>20</v>
      </c>
      <c r="G154" s="303" t="s">
        <v>25</v>
      </c>
      <c r="H154" s="306" t="s">
        <v>32</v>
      </c>
      <c r="I154" s="306" t="s">
        <v>23</v>
      </c>
      <c r="J154" s="306" t="s">
        <v>34</v>
      </c>
      <c r="K154" s="307" t="s">
        <v>33</v>
      </c>
    </row>
    <row r="155" spans="3:11" ht="15.75" x14ac:dyDescent="0.25">
      <c r="C155" s="300" t="s">
        <v>1447</v>
      </c>
      <c r="D155" s="302" t="s">
        <v>21</v>
      </c>
      <c r="E155" s="303" t="s">
        <v>814</v>
      </c>
      <c r="F155" s="303" t="s">
        <v>20</v>
      </c>
      <c r="G155" s="303" t="s">
        <v>25</v>
      </c>
      <c r="H155" s="306" t="s">
        <v>22</v>
      </c>
      <c r="I155" s="306" t="s">
        <v>23</v>
      </c>
      <c r="J155" s="306" t="s">
        <v>34</v>
      </c>
      <c r="K155" s="307" t="s">
        <v>32</v>
      </c>
    </row>
    <row r="156" spans="3:11" ht="15.75" x14ac:dyDescent="0.25">
      <c r="C156" s="300" t="s">
        <v>1446</v>
      </c>
      <c r="D156" s="302" t="s">
        <v>21</v>
      </c>
      <c r="E156" s="303" t="s">
        <v>814</v>
      </c>
      <c r="F156" s="303" t="s">
        <v>20</v>
      </c>
      <c r="G156" s="303" t="s">
        <v>25</v>
      </c>
      <c r="H156" s="306" t="s">
        <v>22</v>
      </c>
      <c r="I156" s="306" t="s">
        <v>23</v>
      </c>
      <c r="J156" s="306" t="s">
        <v>32</v>
      </c>
      <c r="K156" s="307" t="s">
        <v>33</v>
      </c>
    </row>
    <row r="157" spans="3:11" ht="15.75" x14ac:dyDescent="0.25">
      <c r="C157" s="300" t="s">
        <v>1445</v>
      </c>
      <c r="D157" s="302" t="s">
        <v>21</v>
      </c>
      <c r="E157" s="303" t="s">
        <v>22</v>
      </c>
      <c r="F157" s="303" t="s">
        <v>20</v>
      </c>
      <c r="G157" s="303" t="s">
        <v>25</v>
      </c>
      <c r="H157" s="306" t="s">
        <v>31</v>
      </c>
      <c r="I157" s="306" t="s">
        <v>23</v>
      </c>
      <c r="J157" s="306" t="s">
        <v>34</v>
      </c>
      <c r="K157" s="307" t="s">
        <v>33</v>
      </c>
    </row>
    <row r="158" spans="3:11" ht="15.75" x14ac:dyDescent="0.25">
      <c r="C158" s="300" t="s">
        <v>1444</v>
      </c>
      <c r="D158" s="302" t="s">
        <v>21</v>
      </c>
      <c r="E158" s="303" t="s">
        <v>814</v>
      </c>
      <c r="F158" s="303" t="s">
        <v>20</v>
      </c>
      <c r="G158" s="303" t="s">
        <v>25</v>
      </c>
      <c r="H158" s="306" t="s">
        <v>31</v>
      </c>
      <c r="I158" s="306" t="s">
        <v>23</v>
      </c>
      <c r="J158" s="306" t="s">
        <v>34</v>
      </c>
      <c r="K158" s="307" t="s">
        <v>22</v>
      </c>
    </row>
    <row r="159" spans="3:11" ht="15.75" x14ac:dyDescent="0.25">
      <c r="C159" s="300" t="s">
        <v>1443</v>
      </c>
      <c r="D159" s="302" t="s">
        <v>21</v>
      </c>
      <c r="E159" s="303" t="s">
        <v>814</v>
      </c>
      <c r="F159" s="303" t="s">
        <v>20</v>
      </c>
      <c r="G159" s="303" t="s">
        <v>25</v>
      </c>
      <c r="H159" s="306" t="s">
        <v>31</v>
      </c>
      <c r="I159" s="306" t="s">
        <v>23</v>
      </c>
      <c r="J159" s="306" t="s">
        <v>22</v>
      </c>
      <c r="K159" s="307" t="s">
        <v>33</v>
      </c>
    </row>
    <row r="160" spans="3:11" ht="15.75" x14ac:dyDescent="0.25">
      <c r="C160" s="300" t="s">
        <v>1442</v>
      </c>
      <c r="D160" s="302" t="s">
        <v>21</v>
      </c>
      <c r="E160" s="303" t="s">
        <v>22</v>
      </c>
      <c r="F160" s="303" t="s">
        <v>20</v>
      </c>
      <c r="G160" s="303" t="s">
        <v>25</v>
      </c>
      <c r="H160" s="306" t="s">
        <v>31</v>
      </c>
      <c r="I160" s="306" t="s">
        <v>23</v>
      </c>
      <c r="J160" s="306" t="s">
        <v>34</v>
      </c>
      <c r="K160" s="307" t="s">
        <v>32</v>
      </c>
    </row>
    <row r="161" spans="3:11" ht="15.75" x14ac:dyDescent="0.25">
      <c r="C161" s="300" t="s">
        <v>1441</v>
      </c>
      <c r="D161" s="302" t="s">
        <v>21</v>
      </c>
      <c r="E161" s="303" t="s">
        <v>22</v>
      </c>
      <c r="F161" s="303" t="s">
        <v>20</v>
      </c>
      <c r="G161" s="303" t="s">
        <v>25</v>
      </c>
      <c r="H161" s="306" t="s">
        <v>31</v>
      </c>
      <c r="I161" s="306" t="s">
        <v>23</v>
      </c>
      <c r="J161" s="306" t="s">
        <v>32</v>
      </c>
      <c r="K161" s="307" t="s">
        <v>33</v>
      </c>
    </row>
    <row r="162" spans="3:11" ht="15.75" x14ac:dyDescent="0.25">
      <c r="C162" s="300" t="s">
        <v>1440</v>
      </c>
      <c r="D162" s="302" t="s">
        <v>21</v>
      </c>
      <c r="E162" s="303" t="s">
        <v>814</v>
      </c>
      <c r="F162" s="303" t="s">
        <v>20</v>
      </c>
      <c r="G162" s="303" t="s">
        <v>25</v>
      </c>
      <c r="H162" s="306" t="s">
        <v>31</v>
      </c>
      <c r="I162" s="306" t="s">
        <v>23</v>
      </c>
      <c r="J162" s="306" t="s">
        <v>22</v>
      </c>
      <c r="K162" s="307" t="s">
        <v>32</v>
      </c>
    </row>
    <row r="163" spans="3:11" ht="15.75" x14ac:dyDescent="0.25">
      <c r="C163" s="300" t="s">
        <v>1439</v>
      </c>
      <c r="D163" s="302" t="s">
        <v>21</v>
      </c>
      <c r="E163" s="303" t="s">
        <v>270</v>
      </c>
      <c r="F163" s="303" t="s">
        <v>20</v>
      </c>
      <c r="G163" s="303" t="s">
        <v>25</v>
      </c>
      <c r="H163" s="306" t="s">
        <v>22</v>
      </c>
      <c r="I163" s="306" t="s">
        <v>23</v>
      </c>
      <c r="J163" s="306" t="s">
        <v>34</v>
      </c>
      <c r="K163" s="307" t="s">
        <v>33</v>
      </c>
    </row>
    <row r="164" spans="3:11" ht="15.75" x14ac:dyDescent="0.25">
      <c r="C164" s="300" t="s">
        <v>1438</v>
      </c>
      <c r="D164" s="302" t="s">
        <v>21</v>
      </c>
      <c r="E164" s="303" t="s">
        <v>270</v>
      </c>
      <c r="F164" s="303" t="s">
        <v>20</v>
      </c>
      <c r="G164" s="303" t="s">
        <v>25</v>
      </c>
      <c r="H164" s="306" t="s">
        <v>814</v>
      </c>
      <c r="I164" s="306" t="s">
        <v>23</v>
      </c>
      <c r="J164" s="306" t="s">
        <v>34</v>
      </c>
      <c r="K164" s="307" t="s">
        <v>22</v>
      </c>
    </row>
    <row r="165" spans="3:11" ht="15.75" x14ac:dyDescent="0.25">
      <c r="C165" s="300" t="s">
        <v>1437</v>
      </c>
      <c r="D165" s="302" t="s">
        <v>21</v>
      </c>
      <c r="E165" s="303" t="s">
        <v>270</v>
      </c>
      <c r="F165" s="303" t="s">
        <v>20</v>
      </c>
      <c r="G165" s="303" t="s">
        <v>25</v>
      </c>
      <c r="H165" s="306" t="s">
        <v>814</v>
      </c>
      <c r="I165" s="306" t="s">
        <v>23</v>
      </c>
      <c r="J165" s="306" t="s">
        <v>22</v>
      </c>
      <c r="K165" s="307" t="s">
        <v>33</v>
      </c>
    </row>
    <row r="166" spans="3:11" ht="15.75" x14ac:dyDescent="0.25">
      <c r="C166" s="300" t="s">
        <v>1436</v>
      </c>
      <c r="D166" s="302" t="s">
        <v>21</v>
      </c>
      <c r="E166" s="303" t="s">
        <v>270</v>
      </c>
      <c r="F166" s="303" t="s">
        <v>20</v>
      </c>
      <c r="G166" s="303" t="s">
        <v>25</v>
      </c>
      <c r="H166" s="306" t="s">
        <v>22</v>
      </c>
      <c r="I166" s="306" t="s">
        <v>23</v>
      </c>
      <c r="J166" s="306" t="s">
        <v>34</v>
      </c>
      <c r="K166" s="307" t="s">
        <v>32</v>
      </c>
    </row>
    <row r="167" spans="3:11" ht="15.75" x14ac:dyDescent="0.25">
      <c r="C167" s="300" t="s">
        <v>1435</v>
      </c>
      <c r="D167" s="302" t="s">
        <v>21</v>
      </c>
      <c r="E167" s="303" t="s">
        <v>270</v>
      </c>
      <c r="F167" s="303" t="s">
        <v>20</v>
      </c>
      <c r="G167" s="303" t="s">
        <v>25</v>
      </c>
      <c r="H167" s="306" t="s">
        <v>22</v>
      </c>
      <c r="I167" s="306" t="s">
        <v>23</v>
      </c>
      <c r="J167" s="306" t="s">
        <v>32</v>
      </c>
      <c r="K167" s="307" t="s">
        <v>33</v>
      </c>
    </row>
    <row r="168" spans="3:11" ht="15.75" x14ac:dyDescent="0.25">
      <c r="C168" s="300" t="s">
        <v>1434</v>
      </c>
      <c r="D168" s="302" t="s">
        <v>21</v>
      </c>
      <c r="E168" s="303" t="s">
        <v>270</v>
      </c>
      <c r="F168" s="303" t="s">
        <v>20</v>
      </c>
      <c r="G168" s="303" t="s">
        <v>25</v>
      </c>
      <c r="H168" s="306" t="s">
        <v>814</v>
      </c>
      <c r="I168" s="306" t="s">
        <v>23</v>
      </c>
      <c r="J168" s="306" t="s">
        <v>22</v>
      </c>
      <c r="K168" s="307" t="s">
        <v>32</v>
      </c>
    </row>
    <row r="169" spans="3:11" ht="15.75" x14ac:dyDescent="0.25">
      <c r="C169" s="300" t="s">
        <v>1433</v>
      </c>
      <c r="D169" s="302" t="s">
        <v>21</v>
      </c>
      <c r="E169" s="303" t="s">
        <v>270</v>
      </c>
      <c r="F169" s="303" t="s">
        <v>20</v>
      </c>
      <c r="G169" s="303" t="s">
        <v>25</v>
      </c>
      <c r="H169" s="306" t="s">
        <v>31</v>
      </c>
      <c r="I169" s="306" t="s">
        <v>23</v>
      </c>
      <c r="J169" s="306" t="s">
        <v>34</v>
      </c>
      <c r="K169" s="307" t="s">
        <v>22</v>
      </c>
    </row>
    <row r="170" spans="3:11" ht="15.75" x14ac:dyDescent="0.25">
      <c r="C170" s="300" t="s">
        <v>1432</v>
      </c>
      <c r="D170" s="302" t="s">
        <v>21</v>
      </c>
      <c r="E170" s="303" t="s">
        <v>270</v>
      </c>
      <c r="F170" s="303" t="s">
        <v>20</v>
      </c>
      <c r="G170" s="303" t="s">
        <v>25</v>
      </c>
      <c r="H170" s="306" t="s">
        <v>31</v>
      </c>
      <c r="I170" s="306" t="s">
        <v>23</v>
      </c>
      <c r="J170" s="306" t="s">
        <v>22</v>
      </c>
      <c r="K170" s="307" t="s">
        <v>33</v>
      </c>
    </row>
    <row r="171" spans="3:11" ht="15.75" x14ac:dyDescent="0.25">
      <c r="C171" s="300" t="s">
        <v>1431</v>
      </c>
      <c r="D171" s="302" t="s">
        <v>31</v>
      </c>
      <c r="E171" s="303" t="s">
        <v>270</v>
      </c>
      <c r="F171" s="303" t="s">
        <v>20</v>
      </c>
      <c r="G171" s="303" t="s">
        <v>21</v>
      </c>
      <c r="H171" s="306" t="s">
        <v>814</v>
      </c>
      <c r="I171" s="306" t="s">
        <v>23</v>
      </c>
      <c r="J171" s="306" t="s">
        <v>25</v>
      </c>
      <c r="K171" s="307" t="s">
        <v>22</v>
      </c>
    </row>
    <row r="172" spans="3:11" ht="15.75" x14ac:dyDescent="0.25">
      <c r="C172" s="300" t="s">
        <v>1430</v>
      </c>
      <c r="D172" s="302" t="s">
        <v>21</v>
      </c>
      <c r="E172" s="303" t="s">
        <v>270</v>
      </c>
      <c r="F172" s="303" t="s">
        <v>20</v>
      </c>
      <c r="G172" s="303" t="s">
        <v>25</v>
      </c>
      <c r="H172" s="306" t="s">
        <v>31</v>
      </c>
      <c r="I172" s="306" t="s">
        <v>23</v>
      </c>
      <c r="J172" s="306" t="s">
        <v>22</v>
      </c>
      <c r="K172" s="307" t="s">
        <v>32</v>
      </c>
    </row>
    <row r="173" spans="3:11" ht="15.75" x14ac:dyDescent="0.25">
      <c r="C173" s="300" t="s">
        <v>1429</v>
      </c>
      <c r="D173" s="302" t="s">
        <v>31</v>
      </c>
      <c r="E173" s="303" t="s">
        <v>814</v>
      </c>
      <c r="F173" s="303" t="s">
        <v>32</v>
      </c>
      <c r="G173" s="303" t="s">
        <v>23</v>
      </c>
      <c r="H173" s="306" t="s">
        <v>24</v>
      </c>
      <c r="I173" s="306" t="s">
        <v>270</v>
      </c>
      <c r="J173" s="306" t="s">
        <v>34</v>
      </c>
      <c r="K173" s="307" t="s">
        <v>33</v>
      </c>
    </row>
    <row r="174" spans="3:11" ht="15.75" x14ac:dyDescent="0.25">
      <c r="C174" s="300" t="s">
        <v>1428</v>
      </c>
      <c r="D174" s="302" t="s">
        <v>22</v>
      </c>
      <c r="E174" s="303" t="s">
        <v>814</v>
      </c>
      <c r="F174" s="303" t="s">
        <v>32</v>
      </c>
      <c r="G174" s="303" t="s">
        <v>24</v>
      </c>
      <c r="H174" s="306" t="s">
        <v>31</v>
      </c>
      <c r="I174" s="306" t="s">
        <v>270</v>
      </c>
      <c r="J174" s="306" t="s">
        <v>34</v>
      </c>
      <c r="K174" s="307" t="s">
        <v>33</v>
      </c>
    </row>
    <row r="175" spans="3:11" ht="15.75" x14ac:dyDescent="0.25">
      <c r="C175" s="300" t="s">
        <v>1427</v>
      </c>
      <c r="D175" s="302" t="s">
        <v>22</v>
      </c>
      <c r="E175" s="303" t="s">
        <v>814</v>
      </c>
      <c r="F175" s="303" t="s">
        <v>32</v>
      </c>
      <c r="G175" s="303" t="s">
        <v>23</v>
      </c>
      <c r="H175" s="306" t="s">
        <v>24</v>
      </c>
      <c r="I175" s="306" t="s">
        <v>31</v>
      </c>
      <c r="J175" s="306" t="s">
        <v>34</v>
      </c>
      <c r="K175" s="307" t="s">
        <v>33</v>
      </c>
    </row>
    <row r="176" spans="3:11" ht="15.75" x14ac:dyDescent="0.25">
      <c r="C176" s="300" t="s">
        <v>1426</v>
      </c>
      <c r="D176" s="302" t="s">
        <v>22</v>
      </c>
      <c r="E176" s="303" t="s">
        <v>814</v>
      </c>
      <c r="F176" s="303" t="s">
        <v>32</v>
      </c>
      <c r="G176" s="303" t="s">
        <v>23</v>
      </c>
      <c r="H176" s="306" t="s">
        <v>24</v>
      </c>
      <c r="I176" s="306" t="s">
        <v>270</v>
      </c>
      <c r="J176" s="306" t="s">
        <v>34</v>
      </c>
      <c r="K176" s="307" t="s">
        <v>33</v>
      </c>
    </row>
    <row r="177" spans="3:11" ht="15.75" x14ac:dyDescent="0.25">
      <c r="C177" s="300" t="s">
        <v>1425</v>
      </c>
      <c r="D177" s="302" t="s">
        <v>22</v>
      </c>
      <c r="E177" s="303" t="s">
        <v>270</v>
      </c>
      <c r="F177" s="303" t="s">
        <v>814</v>
      </c>
      <c r="G177" s="303" t="s">
        <v>23</v>
      </c>
      <c r="H177" s="306" t="s">
        <v>24</v>
      </c>
      <c r="I177" s="306" t="s">
        <v>31</v>
      </c>
      <c r="J177" s="306" t="s">
        <v>34</v>
      </c>
      <c r="K177" s="307" t="s">
        <v>33</v>
      </c>
    </row>
    <row r="178" spans="3:11" ht="15.75" x14ac:dyDescent="0.25">
      <c r="C178" s="300" t="s">
        <v>1424</v>
      </c>
      <c r="D178" s="302" t="s">
        <v>22</v>
      </c>
      <c r="E178" s="303" t="s">
        <v>270</v>
      </c>
      <c r="F178" s="303" t="s">
        <v>32</v>
      </c>
      <c r="G178" s="303" t="s">
        <v>23</v>
      </c>
      <c r="H178" s="306" t="s">
        <v>24</v>
      </c>
      <c r="I178" s="306" t="s">
        <v>31</v>
      </c>
      <c r="J178" s="306" t="s">
        <v>34</v>
      </c>
      <c r="K178" s="307" t="s">
        <v>33</v>
      </c>
    </row>
    <row r="179" spans="3:11" ht="15.75" x14ac:dyDescent="0.25">
      <c r="C179" s="300" t="s">
        <v>1423</v>
      </c>
      <c r="D179" s="302" t="s">
        <v>22</v>
      </c>
      <c r="E179" s="303" t="s">
        <v>270</v>
      </c>
      <c r="F179" s="303" t="s">
        <v>814</v>
      </c>
      <c r="G179" s="303" t="s">
        <v>23</v>
      </c>
      <c r="H179" s="306" t="s">
        <v>24</v>
      </c>
      <c r="I179" s="306" t="s">
        <v>31</v>
      </c>
      <c r="J179" s="306" t="s">
        <v>34</v>
      </c>
      <c r="K179" s="307" t="s">
        <v>32</v>
      </c>
    </row>
    <row r="180" spans="3:11" ht="15.75" x14ac:dyDescent="0.25">
      <c r="C180" s="300" t="s">
        <v>1422</v>
      </c>
      <c r="D180" s="302" t="s">
        <v>22</v>
      </c>
      <c r="E180" s="303" t="s">
        <v>270</v>
      </c>
      <c r="F180" s="303" t="s">
        <v>814</v>
      </c>
      <c r="G180" s="303" t="s">
        <v>23</v>
      </c>
      <c r="H180" s="306" t="s">
        <v>24</v>
      </c>
      <c r="I180" s="306" t="s">
        <v>31</v>
      </c>
      <c r="J180" s="306" t="s">
        <v>32</v>
      </c>
      <c r="K180" s="307" t="s">
        <v>33</v>
      </c>
    </row>
    <row r="181" spans="3:11" ht="15.75" x14ac:dyDescent="0.25">
      <c r="C181" s="300" t="s">
        <v>1421</v>
      </c>
      <c r="D181" s="302" t="s">
        <v>31</v>
      </c>
      <c r="E181" s="303" t="s">
        <v>814</v>
      </c>
      <c r="F181" s="303" t="s">
        <v>32</v>
      </c>
      <c r="G181" s="303" t="s">
        <v>25</v>
      </c>
      <c r="H181" s="306" t="s">
        <v>24</v>
      </c>
      <c r="I181" s="306" t="s">
        <v>270</v>
      </c>
      <c r="J181" s="306" t="s">
        <v>34</v>
      </c>
      <c r="K181" s="307" t="s">
        <v>33</v>
      </c>
    </row>
    <row r="182" spans="3:11" ht="15.75" x14ac:dyDescent="0.25">
      <c r="C182" s="300" t="s">
        <v>1420</v>
      </c>
      <c r="D182" s="302" t="s">
        <v>31</v>
      </c>
      <c r="E182" s="303" t="s">
        <v>814</v>
      </c>
      <c r="F182" s="303" t="s">
        <v>32</v>
      </c>
      <c r="G182" s="303" t="s">
        <v>25</v>
      </c>
      <c r="H182" s="306" t="s">
        <v>24</v>
      </c>
      <c r="I182" s="306" t="s">
        <v>23</v>
      </c>
      <c r="J182" s="306" t="s">
        <v>34</v>
      </c>
      <c r="K182" s="307" t="s">
        <v>33</v>
      </c>
    </row>
    <row r="183" spans="3:11" ht="15.75" x14ac:dyDescent="0.25">
      <c r="C183" s="300" t="s">
        <v>1419</v>
      </c>
      <c r="D183" s="302" t="s">
        <v>32</v>
      </c>
      <c r="E183" s="303" t="s">
        <v>270</v>
      </c>
      <c r="F183" s="303" t="s">
        <v>814</v>
      </c>
      <c r="G183" s="303" t="s">
        <v>25</v>
      </c>
      <c r="H183" s="306" t="s">
        <v>24</v>
      </c>
      <c r="I183" s="306" t="s">
        <v>23</v>
      </c>
      <c r="J183" s="306" t="s">
        <v>34</v>
      </c>
      <c r="K183" s="307" t="s">
        <v>33</v>
      </c>
    </row>
    <row r="184" spans="3:11" ht="15.75" x14ac:dyDescent="0.25">
      <c r="C184" s="300" t="s">
        <v>1418</v>
      </c>
      <c r="D184" s="302" t="s">
        <v>31</v>
      </c>
      <c r="E184" s="303" t="s">
        <v>270</v>
      </c>
      <c r="F184" s="303" t="s">
        <v>814</v>
      </c>
      <c r="G184" s="303" t="s">
        <v>25</v>
      </c>
      <c r="H184" s="306" t="s">
        <v>24</v>
      </c>
      <c r="I184" s="306" t="s">
        <v>23</v>
      </c>
      <c r="J184" s="306" t="s">
        <v>34</v>
      </c>
      <c r="K184" s="307" t="s">
        <v>33</v>
      </c>
    </row>
    <row r="185" spans="3:11" ht="15.75" x14ac:dyDescent="0.25">
      <c r="C185" s="300" t="s">
        <v>1417</v>
      </c>
      <c r="D185" s="302" t="s">
        <v>31</v>
      </c>
      <c r="E185" s="303" t="s">
        <v>270</v>
      </c>
      <c r="F185" s="303" t="s">
        <v>32</v>
      </c>
      <c r="G185" s="303" t="s">
        <v>25</v>
      </c>
      <c r="H185" s="306" t="s">
        <v>24</v>
      </c>
      <c r="I185" s="306" t="s">
        <v>23</v>
      </c>
      <c r="J185" s="306" t="s">
        <v>34</v>
      </c>
      <c r="K185" s="307" t="s">
        <v>33</v>
      </c>
    </row>
    <row r="186" spans="3:11" ht="15.75" x14ac:dyDescent="0.25">
      <c r="C186" s="300" t="s">
        <v>1416</v>
      </c>
      <c r="D186" s="302" t="s">
        <v>31</v>
      </c>
      <c r="E186" s="303" t="s">
        <v>270</v>
      </c>
      <c r="F186" s="303" t="s">
        <v>814</v>
      </c>
      <c r="G186" s="303" t="s">
        <v>25</v>
      </c>
      <c r="H186" s="306" t="s">
        <v>24</v>
      </c>
      <c r="I186" s="306" t="s">
        <v>23</v>
      </c>
      <c r="J186" s="306" t="s">
        <v>34</v>
      </c>
      <c r="K186" s="307" t="s">
        <v>32</v>
      </c>
    </row>
    <row r="187" spans="3:11" ht="15.75" x14ac:dyDescent="0.25">
      <c r="C187" s="300" t="s">
        <v>1415</v>
      </c>
      <c r="D187" s="302" t="s">
        <v>31</v>
      </c>
      <c r="E187" s="303" t="s">
        <v>270</v>
      </c>
      <c r="F187" s="303" t="s">
        <v>814</v>
      </c>
      <c r="G187" s="303" t="s">
        <v>25</v>
      </c>
      <c r="H187" s="306" t="s">
        <v>24</v>
      </c>
      <c r="I187" s="306" t="s">
        <v>23</v>
      </c>
      <c r="J187" s="306" t="s">
        <v>32</v>
      </c>
      <c r="K187" s="307" t="s">
        <v>33</v>
      </c>
    </row>
    <row r="188" spans="3:11" ht="15.75" x14ac:dyDescent="0.25">
      <c r="C188" s="300" t="s">
        <v>1414</v>
      </c>
      <c r="D188" s="302" t="s">
        <v>22</v>
      </c>
      <c r="E188" s="303" t="s">
        <v>814</v>
      </c>
      <c r="F188" s="303" t="s">
        <v>32</v>
      </c>
      <c r="G188" s="303" t="s">
        <v>25</v>
      </c>
      <c r="H188" s="306" t="s">
        <v>24</v>
      </c>
      <c r="I188" s="306" t="s">
        <v>31</v>
      </c>
      <c r="J188" s="306" t="s">
        <v>34</v>
      </c>
      <c r="K188" s="307" t="s">
        <v>33</v>
      </c>
    </row>
    <row r="189" spans="3:11" ht="15.75" x14ac:dyDescent="0.25">
      <c r="C189" s="300" t="s">
        <v>1413</v>
      </c>
      <c r="D189" s="302" t="s">
        <v>22</v>
      </c>
      <c r="E189" s="303" t="s">
        <v>814</v>
      </c>
      <c r="F189" s="303" t="s">
        <v>32</v>
      </c>
      <c r="G189" s="303" t="s">
        <v>25</v>
      </c>
      <c r="H189" s="306" t="s">
        <v>24</v>
      </c>
      <c r="I189" s="306" t="s">
        <v>270</v>
      </c>
      <c r="J189" s="306" t="s">
        <v>34</v>
      </c>
      <c r="K189" s="307" t="s">
        <v>33</v>
      </c>
    </row>
    <row r="190" spans="3:11" ht="15.75" x14ac:dyDescent="0.25">
      <c r="C190" s="300" t="s">
        <v>1412</v>
      </c>
      <c r="D190" s="302" t="s">
        <v>22</v>
      </c>
      <c r="E190" s="303" t="s">
        <v>270</v>
      </c>
      <c r="F190" s="303" t="s">
        <v>814</v>
      </c>
      <c r="G190" s="303" t="s">
        <v>25</v>
      </c>
      <c r="H190" s="306" t="s">
        <v>24</v>
      </c>
      <c r="I190" s="306" t="s">
        <v>31</v>
      </c>
      <c r="J190" s="306" t="s">
        <v>34</v>
      </c>
      <c r="K190" s="307" t="s">
        <v>33</v>
      </c>
    </row>
    <row r="191" spans="3:11" ht="15.75" x14ac:dyDescent="0.25">
      <c r="C191" s="300" t="s">
        <v>1411</v>
      </c>
      <c r="D191" s="302" t="s">
        <v>22</v>
      </c>
      <c r="E191" s="303" t="s">
        <v>270</v>
      </c>
      <c r="F191" s="303" t="s">
        <v>32</v>
      </c>
      <c r="G191" s="303" t="s">
        <v>25</v>
      </c>
      <c r="H191" s="306" t="s">
        <v>24</v>
      </c>
      <c r="I191" s="306" t="s">
        <v>31</v>
      </c>
      <c r="J191" s="306" t="s">
        <v>34</v>
      </c>
      <c r="K191" s="307" t="s">
        <v>33</v>
      </c>
    </row>
    <row r="192" spans="3:11" ht="15.75" x14ac:dyDescent="0.25">
      <c r="C192" s="300" t="s">
        <v>1410</v>
      </c>
      <c r="D192" s="302" t="s">
        <v>22</v>
      </c>
      <c r="E192" s="303" t="s">
        <v>270</v>
      </c>
      <c r="F192" s="303" t="s">
        <v>814</v>
      </c>
      <c r="G192" s="303" t="s">
        <v>25</v>
      </c>
      <c r="H192" s="306" t="s">
        <v>24</v>
      </c>
      <c r="I192" s="306" t="s">
        <v>31</v>
      </c>
      <c r="J192" s="306" t="s">
        <v>34</v>
      </c>
      <c r="K192" s="307" t="s">
        <v>32</v>
      </c>
    </row>
    <row r="193" spans="3:11" ht="15.75" x14ac:dyDescent="0.25">
      <c r="C193" s="300" t="s">
        <v>1409</v>
      </c>
      <c r="D193" s="302" t="s">
        <v>22</v>
      </c>
      <c r="E193" s="303" t="s">
        <v>270</v>
      </c>
      <c r="F193" s="303" t="s">
        <v>814</v>
      </c>
      <c r="G193" s="303" t="s">
        <v>25</v>
      </c>
      <c r="H193" s="306" t="s">
        <v>24</v>
      </c>
      <c r="I193" s="306" t="s">
        <v>31</v>
      </c>
      <c r="J193" s="306" t="s">
        <v>32</v>
      </c>
      <c r="K193" s="307" t="s">
        <v>33</v>
      </c>
    </row>
    <row r="194" spans="3:11" ht="15.75" x14ac:dyDescent="0.25">
      <c r="C194" s="300" t="s">
        <v>1408</v>
      </c>
      <c r="D194" s="302" t="s">
        <v>22</v>
      </c>
      <c r="E194" s="303" t="s">
        <v>814</v>
      </c>
      <c r="F194" s="303" t="s">
        <v>32</v>
      </c>
      <c r="G194" s="303" t="s">
        <v>25</v>
      </c>
      <c r="H194" s="306" t="s">
        <v>24</v>
      </c>
      <c r="I194" s="306" t="s">
        <v>23</v>
      </c>
      <c r="J194" s="306" t="s">
        <v>34</v>
      </c>
      <c r="K194" s="307" t="s">
        <v>33</v>
      </c>
    </row>
    <row r="195" spans="3:11" ht="15.75" x14ac:dyDescent="0.25">
      <c r="C195" s="300" t="s">
        <v>1407</v>
      </c>
      <c r="D195" s="302" t="s">
        <v>31</v>
      </c>
      <c r="E195" s="303" t="s">
        <v>814</v>
      </c>
      <c r="F195" s="303" t="s">
        <v>22</v>
      </c>
      <c r="G195" s="303" t="s">
        <v>25</v>
      </c>
      <c r="H195" s="306" t="s">
        <v>24</v>
      </c>
      <c r="I195" s="306" t="s">
        <v>23</v>
      </c>
      <c r="J195" s="306" t="s">
        <v>34</v>
      </c>
      <c r="K195" s="307" t="s">
        <v>33</v>
      </c>
    </row>
    <row r="196" spans="3:11" ht="15.75" x14ac:dyDescent="0.25">
      <c r="C196" s="300" t="s">
        <v>1406</v>
      </c>
      <c r="D196" s="302" t="s">
        <v>31</v>
      </c>
      <c r="E196" s="303" t="s">
        <v>22</v>
      </c>
      <c r="F196" s="303" t="s">
        <v>32</v>
      </c>
      <c r="G196" s="303" t="s">
        <v>25</v>
      </c>
      <c r="H196" s="306" t="s">
        <v>24</v>
      </c>
      <c r="I196" s="306" t="s">
        <v>23</v>
      </c>
      <c r="J196" s="306" t="s">
        <v>34</v>
      </c>
      <c r="K196" s="307" t="s">
        <v>33</v>
      </c>
    </row>
    <row r="197" spans="3:11" ht="15.75" x14ac:dyDescent="0.25">
      <c r="C197" s="300" t="s">
        <v>1405</v>
      </c>
      <c r="D197" s="302" t="s">
        <v>31</v>
      </c>
      <c r="E197" s="303" t="s">
        <v>814</v>
      </c>
      <c r="F197" s="303" t="s">
        <v>22</v>
      </c>
      <c r="G197" s="303" t="s">
        <v>25</v>
      </c>
      <c r="H197" s="306" t="s">
        <v>24</v>
      </c>
      <c r="I197" s="306" t="s">
        <v>23</v>
      </c>
      <c r="J197" s="306" t="s">
        <v>34</v>
      </c>
      <c r="K197" s="307" t="s">
        <v>32</v>
      </c>
    </row>
    <row r="198" spans="3:11" ht="15.75" x14ac:dyDescent="0.25">
      <c r="C198" s="300" t="s">
        <v>1404</v>
      </c>
      <c r="D198" s="302" t="s">
        <v>31</v>
      </c>
      <c r="E198" s="303" t="s">
        <v>814</v>
      </c>
      <c r="F198" s="303" t="s">
        <v>22</v>
      </c>
      <c r="G198" s="303" t="s">
        <v>25</v>
      </c>
      <c r="H198" s="306" t="s">
        <v>24</v>
      </c>
      <c r="I198" s="306" t="s">
        <v>23</v>
      </c>
      <c r="J198" s="306" t="s">
        <v>32</v>
      </c>
      <c r="K198" s="307" t="s">
        <v>33</v>
      </c>
    </row>
    <row r="199" spans="3:11" ht="15.75" x14ac:dyDescent="0.25">
      <c r="C199" s="300" t="s">
        <v>1403</v>
      </c>
      <c r="D199" s="302" t="s">
        <v>22</v>
      </c>
      <c r="E199" s="303" t="s">
        <v>270</v>
      </c>
      <c r="F199" s="303" t="s">
        <v>814</v>
      </c>
      <c r="G199" s="303" t="s">
        <v>25</v>
      </c>
      <c r="H199" s="306" t="s">
        <v>24</v>
      </c>
      <c r="I199" s="306" t="s">
        <v>23</v>
      </c>
      <c r="J199" s="306" t="s">
        <v>34</v>
      </c>
      <c r="K199" s="307" t="s">
        <v>33</v>
      </c>
    </row>
    <row r="200" spans="3:11" ht="15.75" x14ac:dyDescent="0.25">
      <c r="C200" s="300" t="s">
        <v>1402</v>
      </c>
      <c r="D200" s="302" t="s">
        <v>22</v>
      </c>
      <c r="E200" s="303" t="s">
        <v>270</v>
      </c>
      <c r="F200" s="303" t="s">
        <v>32</v>
      </c>
      <c r="G200" s="303" t="s">
        <v>25</v>
      </c>
      <c r="H200" s="306" t="s">
        <v>24</v>
      </c>
      <c r="I200" s="306" t="s">
        <v>23</v>
      </c>
      <c r="J200" s="306" t="s">
        <v>34</v>
      </c>
      <c r="K200" s="307" t="s">
        <v>33</v>
      </c>
    </row>
    <row r="201" spans="3:11" ht="15.75" x14ac:dyDescent="0.25">
      <c r="C201" s="300" t="s">
        <v>1401</v>
      </c>
      <c r="D201" s="302" t="s">
        <v>22</v>
      </c>
      <c r="E201" s="303" t="s">
        <v>270</v>
      </c>
      <c r="F201" s="303" t="s">
        <v>814</v>
      </c>
      <c r="G201" s="303" t="s">
        <v>25</v>
      </c>
      <c r="H201" s="306" t="s">
        <v>24</v>
      </c>
      <c r="I201" s="306" t="s">
        <v>23</v>
      </c>
      <c r="J201" s="306" t="s">
        <v>34</v>
      </c>
      <c r="K201" s="307" t="s">
        <v>32</v>
      </c>
    </row>
    <row r="202" spans="3:11" ht="15.75" x14ac:dyDescent="0.25">
      <c r="C202" s="300" t="s">
        <v>1400</v>
      </c>
      <c r="D202" s="302" t="s">
        <v>22</v>
      </c>
      <c r="E202" s="303" t="s">
        <v>270</v>
      </c>
      <c r="F202" s="303" t="s">
        <v>814</v>
      </c>
      <c r="G202" s="303" t="s">
        <v>25</v>
      </c>
      <c r="H202" s="306" t="s">
        <v>24</v>
      </c>
      <c r="I202" s="306" t="s">
        <v>23</v>
      </c>
      <c r="J202" s="306" t="s">
        <v>32</v>
      </c>
      <c r="K202" s="307" t="s">
        <v>33</v>
      </c>
    </row>
    <row r="203" spans="3:11" ht="15.75" x14ac:dyDescent="0.25">
      <c r="C203" s="300" t="s">
        <v>1399</v>
      </c>
      <c r="D203" s="302" t="s">
        <v>31</v>
      </c>
      <c r="E203" s="303" t="s">
        <v>270</v>
      </c>
      <c r="F203" s="303" t="s">
        <v>22</v>
      </c>
      <c r="G203" s="303" t="s">
        <v>25</v>
      </c>
      <c r="H203" s="306" t="s">
        <v>24</v>
      </c>
      <c r="I203" s="306" t="s">
        <v>23</v>
      </c>
      <c r="J203" s="306" t="s">
        <v>34</v>
      </c>
      <c r="K203" s="307" t="s">
        <v>33</v>
      </c>
    </row>
    <row r="204" spans="3:11" ht="15.75" x14ac:dyDescent="0.25">
      <c r="C204" s="300" t="s">
        <v>1398</v>
      </c>
      <c r="D204" s="302" t="s">
        <v>31</v>
      </c>
      <c r="E204" s="303" t="s">
        <v>270</v>
      </c>
      <c r="F204" s="303" t="s">
        <v>814</v>
      </c>
      <c r="G204" s="303" t="s">
        <v>25</v>
      </c>
      <c r="H204" s="306" t="s">
        <v>24</v>
      </c>
      <c r="I204" s="306" t="s">
        <v>23</v>
      </c>
      <c r="J204" s="306" t="s">
        <v>34</v>
      </c>
      <c r="K204" s="307" t="s">
        <v>22</v>
      </c>
    </row>
    <row r="205" spans="3:11" ht="15.75" x14ac:dyDescent="0.25">
      <c r="C205" s="300" t="s">
        <v>1397</v>
      </c>
      <c r="D205" s="302" t="s">
        <v>31</v>
      </c>
      <c r="E205" s="303" t="s">
        <v>270</v>
      </c>
      <c r="F205" s="303" t="s">
        <v>814</v>
      </c>
      <c r="G205" s="303" t="s">
        <v>25</v>
      </c>
      <c r="H205" s="306" t="s">
        <v>24</v>
      </c>
      <c r="I205" s="306" t="s">
        <v>23</v>
      </c>
      <c r="J205" s="306" t="s">
        <v>22</v>
      </c>
      <c r="K205" s="307" t="s">
        <v>33</v>
      </c>
    </row>
    <row r="206" spans="3:11" ht="15.75" x14ac:dyDescent="0.25">
      <c r="C206" s="300" t="s">
        <v>1396</v>
      </c>
      <c r="D206" s="302" t="s">
        <v>31</v>
      </c>
      <c r="E206" s="303" t="s">
        <v>270</v>
      </c>
      <c r="F206" s="303" t="s">
        <v>22</v>
      </c>
      <c r="G206" s="303" t="s">
        <v>25</v>
      </c>
      <c r="H206" s="306" t="s">
        <v>24</v>
      </c>
      <c r="I206" s="306" t="s">
        <v>23</v>
      </c>
      <c r="J206" s="306" t="s">
        <v>34</v>
      </c>
      <c r="K206" s="307" t="s">
        <v>32</v>
      </c>
    </row>
    <row r="207" spans="3:11" ht="15.75" x14ac:dyDescent="0.25">
      <c r="C207" s="300" t="s">
        <v>1395</v>
      </c>
      <c r="D207" s="302" t="s">
        <v>31</v>
      </c>
      <c r="E207" s="303" t="s">
        <v>270</v>
      </c>
      <c r="F207" s="303" t="s">
        <v>22</v>
      </c>
      <c r="G207" s="303" t="s">
        <v>25</v>
      </c>
      <c r="H207" s="306" t="s">
        <v>24</v>
      </c>
      <c r="I207" s="306" t="s">
        <v>23</v>
      </c>
      <c r="J207" s="306" t="s">
        <v>32</v>
      </c>
      <c r="K207" s="307" t="s">
        <v>33</v>
      </c>
    </row>
    <row r="208" spans="3:11" ht="15.75" x14ac:dyDescent="0.25">
      <c r="C208" s="300" t="s">
        <v>1394</v>
      </c>
      <c r="D208" s="302" t="s">
        <v>31</v>
      </c>
      <c r="E208" s="303" t="s">
        <v>270</v>
      </c>
      <c r="F208" s="303" t="s">
        <v>814</v>
      </c>
      <c r="G208" s="303" t="s">
        <v>25</v>
      </c>
      <c r="H208" s="306" t="s">
        <v>24</v>
      </c>
      <c r="I208" s="306" t="s">
        <v>23</v>
      </c>
      <c r="J208" s="306" t="s">
        <v>22</v>
      </c>
      <c r="K208" s="307" t="s">
        <v>32</v>
      </c>
    </row>
    <row r="209" spans="3:11" ht="15.75" x14ac:dyDescent="0.25">
      <c r="C209" s="300" t="s">
        <v>1393</v>
      </c>
      <c r="D209" s="302" t="s">
        <v>31</v>
      </c>
      <c r="E209" s="303" t="s">
        <v>814</v>
      </c>
      <c r="F209" s="303" t="s">
        <v>32</v>
      </c>
      <c r="G209" s="303" t="s">
        <v>21</v>
      </c>
      <c r="H209" s="306" t="s">
        <v>24</v>
      </c>
      <c r="I209" s="306" t="s">
        <v>270</v>
      </c>
      <c r="J209" s="306" t="s">
        <v>34</v>
      </c>
      <c r="K209" s="307" t="s">
        <v>33</v>
      </c>
    </row>
    <row r="210" spans="3:11" ht="15.75" x14ac:dyDescent="0.25">
      <c r="C210" s="300" t="s">
        <v>1392</v>
      </c>
      <c r="D210" s="302" t="s">
        <v>31</v>
      </c>
      <c r="E210" s="303" t="s">
        <v>814</v>
      </c>
      <c r="F210" s="303" t="s">
        <v>32</v>
      </c>
      <c r="G210" s="303" t="s">
        <v>21</v>
      </c>
      <c r="H210" s="306" t="s">
        <v>24</v>
      </c>
      <c r="I210" s="306" t="s">
        <v>23</v>
      </c>
      <c r="J210" s="306" t="s">
        <v>34</v>
      </c>
      <c r="K210" s="307" t="s">
        <v>33</v>
      </c>
    </row>
    <row r="211" spans="3:11" ht="15.75" x14ac:dyDescent="0.25">
      <c r="C211" s="300" t="s">
        <v>1391</v>
      </c>
      <c r="D211" s="302" t="s">
        <v>32</v>
      </c>
      <c r="E211" s="303" t="s">
        <v>270</v>
      </c>
      <c r="F211" s="303" t="s">
        <v>814</v>
      </c>
      <c r="G211" s="303" t="s">
        <v>21</v>
      </c>
      <c r="H211" s="306" t="s">
        <v>24</v>
      </c>
      <c r="I211" s="306" t="s">
        <v>23</v>
      </c>
      <c r="J211" s="306" t="s">
        <v>34</v>
      </c>
      <c r="K211" s="307" t="s">
        <v>33</v>
      </c>
    </row>
    <row r="212" spans="3:11" ht="15.75" x14ac:dyDescent="0.25">
      <c r="C212" s="300" t="s">
        <v>1390</v>
      </c>
      <c r="D212" s="302" t="s">
        <v>31</v>
      </c>
      <c r="E212" s="303" t="s">
        <v>270</v>
      </c>
      <c r="F212" s="303" t="s">
        <v>814</v>
      </c>
      <c r="G212" s="303" t="s">
        <v>21</v>
      </c>
      <c r="H212" s="306" t="s">
        <v>24</v>
      </c>
      <c r="I212" s="306" t="s">
        <v>23</v>
      </c>
      <c r="J212" s="306" t="s">
        <v>34</v>
      </c>
      <c r="K212" s="307" t="s">
        <v>33</v>
      </c>
    </row>
    <row r="213" spans="3:11" ht="15.75" x14ac:dyDescent="0.25">
      <c r="C213" s="300" t="s">
        <v>1389</v>
      </c>
      <c r="D213" s="302" t="s">
        <v>31</v>
      </c>
      <c r="E213" s="303" t="s">
        <v>270</v>
      </c>
      <c r="F213" s="303" t="s">
        <v>32</v>
      </c>
      <c r="G213" s="303" t="s">
        <v>21</v>
      </c>
      <c r="H213" s="306" t="s">
        <v>24</v>
      </c>
      <c r="I213" s="306" t="s">
        <v>23</v>
      </c>
      <c r="J213" s="306" t="s">
        <v>34</v>
      </c>
      <c r="K213" s="307" t="s">
        <v>33</v>
      </c>
    </row>
    <row r="214" spans="3:11" ht="15.75" x14ac:dyDescent="0.25">
      <c r="C214" s="300" t="s">
        <v>1388</v>
      </c>
      <c r="D214" s="302" t="s">
        <v>31</v>
      </c>
      <c r="E214" s="303" t="s">
        <v>270</v>
      </c>
      <c r="F214" s="303" t="s">
        <v>814</v>
      </c>
      <c r="G214" s="303" t="s">
        <v>21</v>
      </c>
      <c r="H214" s="306" t="s">
        <v>24</v>
      </c>
      <c r="I214" s="306" t="s">
        <v>23</v>
      </c>
      <c r="J214" s="306" t="s">
        <v>34</v>
      </c>
      <c r="K214" s="307" t="s">
        <v>32</v>
      </c>
    </row>
    <row r="215" spans="3:11" ht="15.75" x14ac:dyDescent="0.25">
      <c r="C215" s="300" t="s">
        <v>1387</v>
      </c>
      <c r="D215" s="302" t="s">
        <v>31</v>
      </c>
      <c r="E215" s="303" t="s">
        <v>270</v>
      </c>
      <c r="F215" s="303" t="s">
        <v>814</v>
      </c>
      <c r="G215" s="303" t="s">
        <v>21</v>
      </c>
      <c r="H215" s="306" t="s">
        <v>24</v>
      </c>
      <c r="I215" s="306" t="s">
        <v>23</v>
      </c>
      <c r="J215" s="306" t="s">
        <v>32</v>
      </c>
      <c r="K215" s="307" t="s">
        <v>33</v>
      </c>
    </row>
    <row r="216" spans="3:11" ht="15.75" x14ac:dyDescent="0.25">
      <c r="C216" s="300" t="s">
        <v>1386</v>
      </c>
      <c r="D216" s="302" t="s">
        <v>22</v>
      </c>
      <c r="E216" s="303" t="s">
        <v>814</v>
      </c>
      <c r="F216" s="303" t="s">
        <v>32</v>
      </c>
      <c r="G216" s="303" t="s">
        <v>21</v>
      </c>
      <c r="H216" s="306" t="s">
        <v>24</v>
      </c>
      <c r="I216" s="306" t="s">
        <v>31</v>
      </c>
      <c r="J216" s="306" t="s">
        <v>34</v>
      </c>
      <c r="K216" s="307" t="s">
        <v>33</v>
      </c>
    </row>
    <row r="217" spans="3:11" ht="15.75" x14ac:dyDescent="0.25">
      <c r="C217" s="300" t="s">
        <v>1385</v>
      </c>
      <c r="D217" s="302" t="s">
        <v>22</v>
      </c>
      <c r="E217" s="303" t="s">
        <v>814</v>
      </c>
      <c r="F217" s="303" t="s">
        <v>32</v>
      </c>
      <c r="G217" s="303" t="s">
        <v>21</v>
      </c>
      <c r="H217" s="306" t="s">
        <v>24</v>
      </c>
      <c r="I217" s="306" t="s">
        <v>270</v>
      </c>
      <c r="J217" s="306" t="s">
        <v>34</v>
      </c>
      <c r="K217" s="307" t="s">
        <v>33</v>
      </c>
    </row>
    <row r="218" spans="3:11" ht="15.75" x14ac:dyDescent="0.25">
      <c r="C218" s="300" t="s">
        <v>1384</v>
      </c>
      <c r="D218" s="302" t="s">
        <v>22</v>
      </c>
      <c r="E218" s="303" t="s">
        <v>270</v>
      </c>
      <c r="F218" s="303" t="s">
        <v>814</v>
      </c>
      <c r="G218" s="303" t="s">
        <v>21</v>
      </c>
      <c r="H218" s="306" t="s">
        <v>24</v>
      </c>
      <c r="I218" s="306" t="s">
        <v>31</v>
      </c>
      <c r="J218" s="306" t="s">
        <v>34</v>
      </c>
      <c r="K218" s="307" t="s">
        <v>33</v>
      </c>
    </row>
    <row r="219" spans="3:11" ht="15.75" x14ac:dyDescent="0.25">
      <c r="C219" s="300" t="s">
        <v>1383</v>
      </c>
      <c r="D219" s="302" t="s">
        <v>22</v>
      </c>
      <c r="E219" s="303" t="s">
        <v>270</v>
      </c>
      <c r="F219" s="303" t="s">
        <v>32</v>
      </c>
      <c r="G219" s="303" t="s">
        <v>21</v>
      </c>
      <c r="H219" s="306" t="s">
        <v>24</v>
      </c>
      <c r="I219" s="306" t="s">
        <v>31</v>
      </c>
      <c r="J219" s="306" t="s">
        <v>34</v>
      </c>
      <c r="K219" s="307" t="s">
        <v>33</v>
      </c>
    </row>
    <row r="220" spans="3:11" ht="15.75" x14ac:dyDescent="0.25">
      <c r="C220" s="300" t="s">
        <v>1382</v>
      </c>
      <c r="D220" s="302" t="s">
        <v>22</v>
      </c>
      <c r="E220" s="303" t="s">
        <v>270</v>
      </c>
      <c r="F220" s="303" t="s">
        <v>814</v>
      </c>
      <c r="G220" s="303" t="s">
        <v>21</v>
      </c>
      <c r="H220" s="306" t="s">
        <v>24</v>
      </c>
      <c r="I220" s="306" t="s">
        <v>31</v>
      </c>
      <c r="J220" s="306" t="s">
        <v>34</v>
      </c>
      <c r="K220" s="307" t="s">
        <v>32</v>
      </c>
    </row>
    <row r="221" spans="3:11" ht="15.75" x14ac:dyDescent="0.25">
      <c r="C221" s="300" t="s">
        <v>1381</v>
      </c>
      <c r="D221" s="302" t="s">
        <v>22</v>
      </c>
      <c r="E221" s="303" t="s">
        <v>270</v>
      </c>
      <c r="F221" s="303" t="s">
        <v>814</v>
      </c>
      <c r="G221" s="303" t="s">
        <v>21</v>
      </c>
      <c r="H221" s="306" t="s">
        <v>24</v>
      </c>
      <c r="I221" s="306" t="s">
        <v>31</v>
      </c>
      <c r="J221" s="306" t="s">
        <v>32</v>
      </c>
      <c r="K221" s="307" t="s">
        <v>33</v>
      </c>
    </row>
    <row r="222" spans="3:11" ht="15.75" x14ac:dyDescent="0.25">
      <c r="C222" s="300" t="s">
        <v>1380</v>
      </c>
      <c r="D222" s="302" t="s">
        <v>22</v>
      </c>
      <c r="E222" s="303" t="s">
        <v>814</v>
      </c>
      <c r="F222" s="303" t="s">
        <v>32</v>
      </c>
      <c r="G222" s="303" t="s">
        <v>21</v>
      </c>
      <c r="H222" s="306" t="s">
        <v>24</v>
      </c>
      <c r="I222" s="306" t="s">
        <v>23</v>
      </c>
      <c r="J222" s="306" t="s">
        <v>34</v>
      </c>
      <c r="K222" s="307" t="s">
        <v>33</v>
      </c>
    </row>
    <row r="223" spans="3:11" ht="15.75" x14ac:dyDescent="0.25">
      <c r="C223" s="300" t="s">
        <v>1379</v>
      </c>
      <c r="D223" s="302" t="s">
        <v>31</v>
      </c>
      <c r="E223" s="303" t="s">
        <v>814</v>
      </c>
      <c r="F223" s="303" t="s">
        <v>22</v>
      </c>
      <c r="G223" s="303" t="s">
        <v>21</v>
      </c>
      <c r="H223" s="306" t="s">
        <v>24</v>
      </c>
      <c r="I223" s="306" t="s">
        <v>23</v>
      </c>
      <c r="J223" s="306" t="s">
        <v>34</v>
      </c>
      <c r="K223" s="307" t="s">
        <v>33</v>
      </c>
    </row>
    <row r="224" spans="3:11" ht="15.75" x14ac:dyDescent="0.25">
      <c r="C224" s="300" t="s">
        <v>1378</v>
      </c>
      <c r="D224" s="302" t="s">
        <v>31</v>
      </c>
      <c r="E224" s="303" t="s">
        <v>22</v>
      </c>
      <c r="F224" s="303" t="s">
        <v>32</v>
      </c>
      <c r="G224" s="303" t="s">
        <v>21</v>
      </c>
      <c r="H224" s="306" t="s">
        <v>24</v>
      </c>
      <c r="I224" s="306" t="s">
        <v>23</v>
      </c>
      <c r="J224" s="306" t="s">
        <v>34</v>
      </c>
      <c r="K224" s="307" t="s">
        <v>33</v>
      </c>
    </row>
    <row r="225" spans="3:11" ht="15.75" x14ac:dyDescent="0.25">
      <c r="C225" s="300" t="s">
        <v>1377</v>
      </c>
      <c r="D225" s="302" t="s">
        <v>31</v>
      </c>
      <c r="E225" s="303" t="s">
        <v>814</v>
      </c>
      <c r="F225" s="303" t="s">
        <v>22</v>
      </c>
      <c r="G225" s="303" t="s">
        <v>21</v>
      </c>
      <c r="H225" s="306" t="s">
        <v>24</v>
      </c>
      <c r="I225" s="306" t="s">
        <v>23</v>
      </c>
      <c r="J225" s="306" t="s">
        <v>34</v>
      </c>
      <c r="K225" s="307" t="s">
        <v>32</v>
      </c>
    </row>
    <row r="226" spans="3:11" ht="15.75" x14ac:dyDescent="0.25">
      <c r="C226" s="300" t="s">
        <v>1376</v>
      </c>
      <c r="D226" s="302" t="s">
        <v>31</v>
      </c>
      <c r="E226" s="303" t="s">
        <v>814</v>
      </c>
      <c r="F226" s="303" t="s">
        <v>22</v>
      </c>
      <c r="G226" s="303" t="s">
        <v>21</v>
      </c>
      <c r="H226" s="306" t="s">
        <v>24</v>
      </c>
      <c r="I226" s="306" t="s">
        <v>23</v>
      </c>
      <c r="J226" s="306" t="s">
        <v>32</v>
      </c>
      <c r="K226" s="307" t="s">
        <v>33</v>
      </c>
    </row>
    <row r="227" spans="3:11" ht="15.75" x14ac:dyDescent="0.25">
      <c r="C227" s="300" t="s">
        <v>1375</v>
      </c>
      <c r="D227" s="302" t="s">
        <v>22</v>
      </c>
      <c r="E227" s="303" t="s">
        <v>270</v>
      </c>
      <c r="F227" s="303" t="s">
        <v>814</v>
      </c>
      <c r="G227" s="303" t="s">
        <v>21</v>
      </c>
      <c r="H227" s="306" t="s">
        <v>24</v>
      </c>
      <c r="I227" s="306" t="s">
        <v>23</v>
      </c>
      <c r="J227" s="306" t="s">
        <v>34</v>
      </c>
      <c r="K227" s="307" t="s">
        <v>33</v>
      </c>
    </row>
    <row r="228" spans="3:11" ht="15.75" x14ac:dyDescent="0.25">
      <c r="C228" s="300" t="s">
        <v>1374</v>
      </c>
      <c r="D228" s="302" t="s">
        <v>22</v>
      </c>
      <c r="E228" s="303" t="s">
        <v>270</v>
      </c>
      <c r="F228" s="303" t="s">
        <v>32</v>
      </c>
      <c r="G228" s="303" t="s">
        <v>21</v>
      </c>
      <c r="H228" s="306" t="s">
        <v>24</v>
      </c>
      <c r="I228" s="306" t="s">
        <v>23</v>
      </c>
      <c r="J228" s="306" t="s">
        <v>34</v>
      </c>
      <c r="K228" s="307" t="s">
        <v>33</v>
      </c>
    </row>
    <row r="229" spans="3:11" ht="15.75" x14ac:dyDescent="0.25">
      <c r="C229" s="300" t="s">
        <v>1373</v>
      </c>
      <c r="D229" s="302" t="s">
        <v>22</v>
      </c>
      <c r="E229" s="303" t="s">
        <v>270</v>
      </c>
      <c r="F229" s="303" t="s">
        <v>814</v>
      </c>
      <c r="G229" s="303" t="s">
        <v>21</v>
      </c>
      <c r="H229" s="306" t="s">
        <v>24</v>
      </c>
      <c r="I229" s="306" t="s">
        <v>23</v>
      </c>
      <c r="J229" s="306" t="s">
        <v>34</v>
      </c>
      <c r="K229" s="307" t="s">
        <v>32</v>
      </c>
    </row>
    <row r="230" spans="3:11" ht="15.75" x14ac:dyDescent="0.25">
      <c r="C230" s="300" t="s">
        <v>1372</v>
      </c>
      <c r="D230" s="302" t="s">
        <v>22</v>
      </c>
      <c r="E230" s="303" t="s">
        <v>270</v>
      </c>
      <c r="F230" s="303" t="s">
        <v>814</v>
      </c>
      <c r="G230" s="303" t="s">
        <v>21</v>
      </c>
      <c r="H230" s="306" t="s">
        <v>24</v>
      </c>
      <c r="I230" s="306" t="s">
        <v>23</v>
      </c>
      <c r="J230" s="306" t="s">
        <v>32</v>
      </c>
      <c r="K230" s="307" t="s">
        <v>33</v>
      </c>
    </row>
    <row r="231" spans="3:11" ht="15.75" x14ac:dyDescent="0.25">
      <c r="C231" s="300" t="s">
        <v>1371</v>
      </c>
      <c r="D231" s="302" t="s">
        <v>31</v>
      </c>
      <c r="E231" s="303" t="s">
        <v>270</v>
      </c>
      <c r="F231" s="303" t="s">
        <v>22</v>
      </c>
      <c r="G231" s="303" t="s">
        <v>21</v>
      </c>
      <c r="H231" s="306" t="s">
        <v>24</v>
      </c>
      <c r="I231" s="306" t="s">
        <v>23</v>
      </c>
      <c r="J231" s="306" t="s">
        <v>34</v>
      </c>
      <c r="K231" s="307" t="s">
        <v>33</v>
      </c>
    </row>
    <row r="232" spans="3:11" ht="15.75" x14ac:dyDescent="0.25">
      <c r="C232" s="300" t="s">
        <v>1370</v>
      </c>
      <c r="D232" s="302" t="s">
        <v>31</v>
      </c>
      <c r="E232" s="303" t="s">
        <v>270</v>
      </c>
      <c r="F232" s="303" t="s">
        <v>814</v>
      </c>
      <c r="G232" s="303" t="s">
        <v>21</v>
      </c>
      <c r="H232" s="306" t="s">
        <v>24</v>
      </c>
      <c r="I232" s="306" t="s">
        <v>23</v>
      </c>
      <c r="J232" s="306" t="s">
        <v>34</v>
      </c>
      <c r="K232" s="307" t="s">
        <v>22</v>
      </c>
    </row>
    <row r="233" spans="3:11" ht="15.75" x14ac:dyDescent="0.25">
      <c r="C233" s="300" t="s">
        <v>1369</v>
      </c>
      <c r="D233" s="302" t="s">
        <v>31</v>
      </c>
      <c r="E233" s="303" t="s">
        <v>270</v>
      </c>
      <c r="F233" s="303" t="s">
        <v>814</v>
      </c>
      <c r="G233" s="303" t="s">
        <v>21</v>
      </c>
      <c r="H233" s="306" t="s">
        <v>24</v>
      </c>
      <c r="I233" s="306" t="s">
        <v>23</v>
      </c>
      <c r="J233" s="306" t="s">
        <v>22</v>
      </c>
      <c r="K233" s="307" t="s">
        <v>33</v>
      </c>
    </row>
    <row r="234" spans="3:11" ht="15.75" x14ac:dyDescent="0.25">
      <c r="C234" s="300" t="s">
        <v>1368</v>
      </c>
      <c r="D234" s="302" t="s">
        <v>31</v>
      </c>
      <c r="E234" s="303" t="s">
        <v>270</v>
      </c>
      <c r="F234" s="303" t="s">
        <v>22</v>
      </c>
      <c r="G234" s="303" t="s">
        <v>21</v>
      </c>
      <c r="H234" s="306" t="s">
        <v>24</v>
      </c>
      <c r="I234" s="306" t="s">
        <v>23</v>
      </c>
      <c r="J234" s="306" t="s">
        <v>34</v>
      </c>
      <c r="K234" s="307" t="s">
        <v>32</v>
      </c>
    </row>
    <row r="235" spans="3:11" ht="15.75" x14ac:dyDescent="0.25">
      <c r="C235" s="300" t="s">
        <v>1367</v>
      </c>
      <c r="D235" s="302" t="s">
        <v>31</v>
      </c>
      <c r="E235" s="303" t="s">
        <v>270</v>
      </c>
      <c r="F235" s="303" t="s">
        <v>22</v>
      </c>
      <c r="G235" s="303" t="s">
        <v>21</v>
      </c>
      <c r="H235" s="306" t="s">
        <v>24</v>
      </c>
      <c r="I235" s="306" t="s">
        <v>23</v>
      </c>
      <c r="J235" s="306" t="s">
        <v>32</v>
      </c>
      <c r="K235" s="307" t="s">
        <v>33</v>
      </c>
    </row>
    <row r="236" spans="3:11" ht="15.75" x14ac:dyDescent="0.25">
      <c r="C236" s="300" t="s">
        <v>1366</v>
      </c>
      <c r="D236" s="302" t="s">
        <v>31</v>
      </c>
      <c r="E236" s="303" t="s">
        <v>270</v>
      </c>
      <c r="F236" s="303" t="s">
        <v>814</v>
      </c>
      <c r="G236" s="303" t="s">
        <v>21</v>
      </c>
      <c r="H236" s="306" t="s">
        <v>24</v>
      </c>
      <c r="I236" s="306" t="s">
        <v>23</v>
      </c>
      <c r="J236" s="306" t="s">
        <v>22</v>
      </c>
      <c r="K236" s="307" t="s">
        <v>32</v>
      </c>
    </row>
    <row r="237" spans="3:11" ht="15.75" x14ac:dyDescent="0.25">
      <c r="C237" s="300" t="s">
        <v>1365</v>
      </c>
      <c r="D237" s="302" t="s">
        <v>31</v>
      </c>
      <c r="E237" s="303" t="s">
        <v>814</v>
      </c>
      <c r="F237" s="303" t="s">
        <v>32</v>
      </c>
      <c r="G237" s="303" t="s">
        <v>21</v>
      </c>
      <c r="H237" s="306" t="s">
        <v>24</v>
      </c>
      <c r="I237" s="306" t="s">
        <v>25</v>
      </c>
      <c r="J237" s="306" t="s">
        <v>34</v>
      </c>
      <c r="K237" s="307" t="s">
        <v>33</v>
      </c>
    </row>
    <row r="238" spans="3:11" ht="15.75" x14ac:dyDescent="0.25">
      <c r="C238" s="300" t="s">
        <v>1364</v>
      </c>
      <c r="D238" s="302" t="s">
        <v>32</v>
      </c>
      <c r="E238" s="303" t="s">
        <v>270</v>
      </c>
      <c r="F238" s="303" t="s">
        <v>814</v>
      </c>
      <c r="G238" s="303" t="s">
        <v>21</v>
      </c>
      <c r="H238" s="306" t="s">
        <v>24</v>
      </c>
      <c r="I238" s="306" t="s">
        <v>25</v>
      </c>
      <c r="J238" s="306" t="s">
        <v>34</v>
      </c>
      <c r="K238" s="307" t="s">
        <v>33</v>
      </c>
    </row>
    <row r="239" spans="3:11" ht="15.75" x14ac:dyDescent="0.25">
      <c r="C239" s="300" t="s">
        <v>1363</v>
      </c>
      <c r="D239" s="302" t="s">
        <v>31</v>
      </c>
      <c r="E239" s="303" t="s">
        <v>270</v>
      </c>
      <c r="F239" s="303" t="s">
        <v>814</v>
      </c>
      <c r="G239" s="303" t="s">
        <v>21</v>
      </c>
      <c r="H239" s="306" t="s">
        <v>24</v>
      </c>
      <c r="I239" s="306" t="s">
        <v>25</v>
      </c>
      <c r="J239" s="306" t="s">
        <v>34</v>
      </c>
      <c r="K239" s="307" t="s">
        <v>33</v>
      </c>
    </row>
    <row r="240" spans="3:11" ht="15.75" x14ac:dyDescent="0.25">
      <c r="C240" s="300" t="s">
        <v>1362</v>
      </c>
      <c r="D240" s="302" t="s">
        <v>31</v>
      </c>
      <c r="E240" s="303" t="s">
        <v>270</v>
      </c>
      <c r="F240" s="303" t="s">
        <v>32</v>
      </c>
      <c r="G240" s="303" t="s">
        <v>21</v>
      </c>
      <c r="H240" s="306" t="s">
        <v>24</v>
      </c>
      <c r="I240" s="306" t="s">
        <v>25</v>
      </c>
      <c r="J240" s="306" t="s">
        <v>34</v>
      </c>
      <c r="K240" s="307" t="s">
        <v>33</v>
      </c>
    </row>
    <row r="241" spans="3:11" ht="15.75" x14ac:dyDescent="0.25">
      <c r="C241" s="300" t="s">
        <v>1361</v>
      </c>
      <c r="D241" s="302" t="s">
        <v>31</v>
      </c>
      <c r="E241" s="303" t="s">
        <v>270</v>
      </c>
      <c r="F241" s="303" t="s">
        <v>814</v>
      </c>
      <c r="G241" s="303" t="s">
        <v>21</v>
      </c>
      <c r="H241" s="306" t="s">
        <v>24</v>
      </c>
      <c r="I241" s="306" t="s">
        <v>25</v>
      </c>
      <c r="J241" s="306" t="s">
        <v>34</v>
      </c>
      <c r="K241" s="307" t="s">
        <v>32</v>
      </c>
    </row>
    <row r="242" spans="3:11" ht="15.75" x14ac:dyDescent="0.25">
      <c r="C242" s="300" t="s">
        <v>1360</v>
      </c>
      <c r="D242" s="302" t="s">
        <v>31</v>
      </c>
      <c r="E242" s="303" t="s">
        <v>270</v>
      </c>
      <c r="F242" s="303" t="s">
        <v>814</v>
      </c>
      <c r="G242" s="303" t="s">
        <v>21</v>
      </c>
      <c r="H242" s="306" t="s">
        <v>24</v>
      </c>
      <c r="I242" s="306" t="s">
        <v>25</v>
      </c>
      <c r="J242" s="306" t="s">
        <v>32</v>
      </c>
      <c r="K242" s="307" t="s">
        <v>33</v>
      </c>
    </row>
    <row r="243" spans="3:11" ht="15.75" x14ac:dyDescent="0.25">
      <c r="C243" s="300" t="s">
        <v>1359</v>
      </c>
      <c r="D243" s="302" t="s">
        <v>21</v>
      </c>
      <c r="E243" s="303" t="s">
        <v>814</v>
      </c>
      <c r="F243" s="303" t="s">
        <v>32</v>
      </c>
      <c r="G243" s="303" t="s">
        <v>25</v>
      </c>
      <c r="H243" s="306" t="s">
        <v>24</v>
      </c>
      <c r="I243" s="306" t="s">
        <v>23</v>
      </c>
      <c r="J243" s="306" t="s">
        <v>34</v>
      </c>
      <c r="K243" s="307" t="s">
        <v>33</v>
      </c>
    </row>
    <row r="244" spans="3:11" ht="15.75" x14ac:dyDescent="0.25">
      <c r="C244" s="300" t="s">
        <v>1358</v>
      </c>
      <c r="D244" s="302" t="s">
        <v>31</v>
      </c>
      <c r="E244" s="303" t="s">
        <v>814</v>
      </c>
      <c r="F244" s="303" t="s">
        <v>23</v>
      </c>
      <c r="G244" s="303" t="s">
        <v>21</v>
      </c>
      <c r="H244" s="306" t="s">
        <v>24</v>
      </c>
      <c r="I244" s="306" t="s">
        <v>25</v>
      </c>
      <c r="J244" s="306" t="s">
        <v>34</v>
      </c>
      <c r="K244" s="307" t="s">
        <v>33</v>
      </c>
    </row>
    <row r="245" spans="3:11" ht="15.75" x14ac:dyDescent="0.25">
      <c r="C245" s="300" t="s">
        <v>1357</v>
      </c>
      <c r="D245" s="302" t="s">
        <v>31</v>
      </c>
      <c r="E245" s="303" t="s">
        <v>23</v>
      </c>
      <c r="F245" s="303" t="s">
        <v>32</v>
      </c>
      <c r="G245" s="303" t="s">
        <v>21</v>
      </c>
      <c r="H245" s="306" t="s">
        <v>24</v>
      </c>
      <c r="I245" s="306" t="s">
        <v>25</v>
      </c>
      <c r="J245" s="306" t="s">
        <v>34</v>
      </c>
      <c r="K245" s="307" t="s">
        <v>33</v>
      </c>
    </row>
    <row r="246" spans="3:11" ht="15.75" x14ac:dyDescent="0.25">
      <c r="C246" s="300" t="s">
        <v>1356</v>
      </c>
      <c r="D246" s="302" t="s">
        <v>31</v>
      </c>
      <c r="E246" s="303" t="s">
        <v>814</v>
      </c>
      <c r="F246" s="303" t="s">
        <v>23</v>
      </c>
      <c r="G246" s="303" t="s">
        <v>21</v>
      </c>
      <c r="H246" s="306" t="s">
        <v>24</v>
      </c>
      <c r="I246" s="306" t="s">
        <v>25</v>
      </c>
      <c r="J246" s="306" t="s">
        <v>34</v>
      </c>
      <c r="K246" s="307" t="s">
        <v>32</v>
      </c>
    </row>
    <row r="247" spans="3:11" ht="15.75" x14ac:dyDescent="0.25">
      <c r="C247" s="300" t="s">
        <v>1355</v>
      </c>
      <c r="D247" s="302" t="s">
        <v>31</v>
      </c>
      <c r="E247" s="303" t="s">
        <v>814</v>
      </c>
      <c r="F247" s="303" t="s">
        <v>23</v>
      </c>
      <c r="G247" s="303" t="s">
        <v>21</v>
      </c>
      <c r="H247" s="306" t="s">
        <v>24</v>
      </c>
      <c r="I247" s="306" t="s">
        <v>25</v>
      </c>
      <c r="J247" s="306" t="s">
        <v>32</v>
      </c>
      <c r="K247" s="307" t="s">
        <v>33</v>
      </c>
    </row>
    <row r="248" spans="3:11" ht="15.75" x14ac:dyDescent="0.25">
      <c r="C248" s="300" t="s">
        <v>1354</v>
      </c>
      <c r="D248" s="302" t="s">
        <v>21</v>
      </c>
      <c r="E248" s="303" t="s">
        <v>270</v>
      </c>
      <c r="F248" s="303" t="s">
        <v>814</v>
      </c>
      <c r="G248" s="303" t="s">
        <v>25</v>
      </c>
      <c r="H248" s="306" t="s">
        <v>24</v>
      </c>
      <c r="I248" s="306" t="s">
        <v>23</v>
      </c>
      <c r="J248" s="306" t="s">
        <v>34</v>
      </c>
      <c r="K248" s="307" t="s">
        <v>33</v>
      </c>
    </row>
    <row r="249" spans="3:11" ht="15.75" x14ac:dyDescent="0.25">
      <c r="C249" s="300" t="s">
        <v>1353</v>
      </c>
      <c r="D249" s="302" t="s">
        <v>21</v>
      </c>
      <c r="E249" s="303" t="s">
        <v>270</v>
      </c>
      <c r="F249" s="303" t="s">
        <v>32</v>
      </c>
      <c r="G249" s="303" t="s">
        <v>25</v>
      </c>
      <c r="H249" s="306" t="s">
        <v>24</v>
      </c>
      <c r="I249" s="306" t="s">
        <v>23</v>
      </c>
      <c r="J249" s="306" t="s">
        <v>34</v>
      </c>
      <c r="K249" s="307" t="s">
        <v>33</v>
      </c>
    </row>
    <row r="250" spans="3:11" ht="15.75" x14ac:dyDescent="0.25">
      <c r="C250" s="300" t="s">
        <v>1352</v>
      </c>
      <c r="D250" s="302" t="s">
        <v>21</v>
      </c>
      <c r="E250" s="303" t="s">
        <v>270</v>
      </c>
      <c r="F250" s="303" t="s">
        <v>814</v>
      </c>
      <c r="G250" s="303" t="s">
        <v>25</v>
      </c>
      <c r="H250" s="306" t="s">
        <v>24</v>
      </c>
      <c r="I250" s="306" t="s">
        <v>23</v>
      </c>
      <c r="J250" s="306" t="s">
        <v>34</v>
      </c>
      <c r="K250" s="307" t="s">
        <v>32</v>
      </c>
    </row>
    <row r="251" spans="3:11" ht="15.75" x14ac:dyDescent="0.25">
      <c r="C251" s="300" t="s">
        <v>1351</v>
      </c>
      <c r="D251" s="302" t="s">
        <v>21</v>
      </c>
      <c r="E251" s="303" t="s">
        <v>270</v>
      </c>
      <c r="F251" s="303" t="s">
        <v>814</v>
      </c>
      <c r="G251" s="303" t="s">
        <v>25</v>
      </c>
      <c r="H251" s="306" t="s">
        <v>24</v>
      </c>
      <c r="I251" s="306" t="s">
        <v>23</v>
      </c>
      <c r="J251" s="306" t="s">
        <v>32</v>
      </c>
      <c r="K251" s="307" t="s">
        <v>33</v>
      </c>
    </row>
    <row r="252" spans="3:11" ht="15.75" x14ac:dyDescent="0.25">
      <c r="C252" s="300" t="s">
        <v>1350</v>
      </c>
      <c r="D252" s="302" t="s">
        <v>31</v>
      </c>
      <c r="E252" s="303" t="s">
        <v>270</v>
      </c>
      <c r="F252" s="303" t="s">
        <v>23</v>
      </c>
      <c r="G252" s="303" t="s">
        <v>21</v>
      </c>
      <c r="H252" s="306" t="s">
        <v>24</v>
      </c>
      <c r="I252" s="306" t="s">
        <v>25</v>
      </c>
      <c r="J252" s="306" t="s">
        <v>34</v>
      </c>
      <c r="K252" s="307" t="s">
        <v>33</v>
      </c>
    </row>
    <row r="253" spans="3:11" ht="15.75" x14ac:dyDescent="0.25">
      <c r="C253" s="300" t="s">
        <v>1349</v>
      </c>
      <c r="D253" s="302" t="s">
        <v>21</v>
      </c>
      <c r="E253" s="303" t="s">
        <v>270</v>
      </c>
      <c r="F253" s="303" t="s">
        <v>814</v>
      </c>
      <c r="G253" s="303" t="s">
        <v>25</v>
      </c>
      <c r="H253" s="306" t="s">
        <v>24</v>
      </c>
      <c r="I253" s="306" t="s">
        <v>23</v>
      </c>
      <c r="J253" s="306" t="s">
        <v>34</v>
      </c>
      <c r="K253" s="307" t="s">
        <v>31</v>
      </c>
    </row>
    <row r="254" spans="3:11" ht="15.75" x14ac:dyDescent="0.25">
      <c r="C254" s="300" t="s">
        <v>1348</v>
      </c>
      <c r="D254" s="302" t="s">
        <v>31</v>
      </c>
      <c r="E254" s="303" t="s">
        <v>270</v>
      </c>
      <c r="F254" s="303" t="s">
        <v>814</v>
      </c>
      <c r="G254" s="303" t="s">
        <v>21</v>
      </c>
      <c r="H254" s="306" t="s">
        <v>24</v>
      </c>
      <c r="I254" s="306" t="s">
        <v>23</v>
      </c>
      <c r="J254" s="306" t="s">
        <v>25</v>
      </c>
      <c r="K254" s="307" t="s">
        <v>33</v>
      </c>
    </row>
    <row r="255" spans="3:11" ht="15.75" x14ac:dyDescent="0.25">
      <c r="C255" s="300" t="s">
        <v>1347</v>
      </c>
      <c r="D255" s="302" t="s">
        <v>31</v>
      </c>
      <c r="E255" s="303" t="s">
        <v>270</v>
      </c>
      <c r="F255" s="303" t="s">
        <v>23</v>
      </c>
      <c r="G255" s="303" t="s">
        <v>21</v>
      </c>
      <c r="H255" s="306" t="s">
        <v>24</v>
      </c>
      <c r="I255" s="306" t="s">
        <v>25</v>
      </c>
      <c r="J255" s="306" t="s">
        <v>34</v>
      </c>
      <c r="K255" s="307" t="s">
        <v>32</v>
      </c>
    </row>
    <row r="256" spans="3:11" ht="15.75" x14ac:dyDescent="0.25">
      <c r="C256" s="300" t="s">
        <v>1346</v>
      </c>
      <c r="D256" s="302" t="s">
        <v>31</v>
      </c>
      <c r="E256" s="303" t="s">
        <v>270</v>
      </c>
      <c r="F256" s="303" t="s">
        <v>23</v>
      </c>
      <c r="G256" s="303" t="s">
        <v>21</v>
      </c>
      <c r="H256" s="306" t="s">
        <v>24</v>
      </c>
      <c r="I256" s="306" t="s">
        <v>25</v>
      </c>
      <c r="J256" s="306" t="s">
        <v>32</v>
      </c>
      <c r="K256" s="307" t="s">
        <v>33</v>
      </c>
    </row>
    <row r="257" spans="3:11" ht="15.75" x14ac:dyDescent="0.25">
      <c r="C257" s="300" t="s">
        <v>1345</v>
      </c>
      <c r="D257" s="302" t="s">
        <v>31</v>
      </c>
      <c r="E257" s="303" t="s">
        <v>270</v>
      </c>
      <c r="F257" s="303" t="s">
        <v>814</v>
      </c>
      <c r="G257" s="303" t="s">
        <v>21</v>
      </c>
      <c r="H257" s="306" t="s">
        <v>24</v>
      </c>
      <c r="I257" s="306" t="s">
        <v>23</v>
      </c>
      <c r="J257" s="306" t="s">
        <v>25</v>
      </c>
      <c r="K257" s="307" t="s">
        <v>32</v>
      </c>
    </row>
    <row r="258" spans="3:11" ht="15.75" x14ac:dyDescent="0.25">
      <c r="C258" s="300" t="s">
        <v>1344</v>
      </c>
      <c r="D258" s="302" t="s">
        <v>22</v>
      </c>
      <c r="E258" s="303" t="s">
        <v>814</v>
      </c>
      <c r="F258" s="303" t="s">
        <v>32</v>
      </c>
      <c r="G258" s="303" t="s">
        <v>21</v>
      </c>
      <c r="H258" s="306" t="s">
        <v>24</v>
      </c>
      <c r="I258" s="306" t="s">
        <v>25</v>
      </c>
      <c r="J258" s="306" t="s">
        <v>34</v>
      </c>
      <c r="K258" s="307" t="s">
        <v>33</v>
      </c>
    </row>
    <row r="259" spans="3:11" ht="15.75" x14ac:dyDescent="0.25">
      <c r="C259" s="300" t="s">
        <v>1343</v>
      </c>
      <c r="D259" s="302" t="s">
        <v>31</v>
      </c>
      <c r="E259" s="303" t="s">
        <v>814</v>
      </c>
      <c r="F259" s="303" t="s">
        <v>22</v>
      </c>
      <c r="G259" s="303" t="s">
        <v>21</v>
      </c>
      <c r="H259" s="306" t="s">
        <v>24</v>
      </c>
      <c r="I259" s="306" t="s">
        <v>25</v>
      </c>
      <c r="J259" s="306" t="s">
        <v>34</v>
      </c>
      <c r="K259" s="307" t="s">
        <v>33</v>
      </c>
    </row>
    <row r="260" spans="3:11" ht="15.75" x14ac:dyDescent="0.25">
      <c r="C260" s="300" t="s">
        <v>1342</v>
      </c>
      <c r="D260" s="302" t="s">
        <v>31</v>
      </c>
      <c r="E260" s="303" t="s">
        <v>22</v>
      </c>
      <c r="F260" s="303" t="s">
        <v>32</v>
      </c>
      <c r="G260" s="303" t="s">
        <v>21</v>
      </c>
      <c r="H260" s="306" t="s">
        <v>24</v>
      </c>
      <c r="I260" s="306" t="s">
        <v>25</v>
      </c>
      <c r="J260" s="306" t="s">
        <v>34</v>
      </c>
      <c r="K260" s="307" t="s">
        <v>33</v>
      </c>
    </row>
    <row r="261" spans="3:11" ht="15.75" x14ac:dyDescent="0.25">
      <c r="C261" s="300" t="s">
        <v>1341</v>
      </c>
      <c r="D261" s="302" t="s">
        <v>31</v>
      </c>
      <c r="E261" s="303" t="s">
        <v>814</v>
      </c>
      <c r="F261" s="303" t="s">
        <v>22</v>
      </c>
      <c r="G261" s="303" t="s">
        <v>21</v>
      </c>
      <c r="H261" s="306" t="s">
        <v>24</v>
      </c>
      <c r="I261" s="306" t="s">
        <v>25</v>
      </c>
      <c r="J261" s="306" t="s">
        <v>34</v>
      </c>
      <c r="K261" s="307" t="s">
        <v>32</v>
      </c>
    </row>
    <row r="262" spans="3:11" ht="15.75" x14ac:dyDescent="0.25">
      <c r="C262" s="300" t="s">
        <v>1340</v>
      </c>
      <c r="D262" s="302" t="s">
        <v>31</v>
      </c>
      <c r="E262" s="303" t="s">
        <v>814</v>
      </c>
      <c r="F262" s="303" t="s">
        <v>22</v>
      </c>
      <c r="G262" s="303" t="s">
        <v>21</v>
      </c>
      <c r="H262" s="306" t="s">
        <v>24</v>
      </c>
      <c r="I262" s="306" t="s">
        <v>25</v>
      </c>
      <c r="J262" s="306" t="s">
        <v>32</v>
      </c>
      <c r="K262" s="307" t="s">
        <v>33</v>
      </c>
    </row>
    <row r="263" spans="3:11" ht="15.75" x14ac:dyDescent="0.25">
      <c r="C263" s="300" t="s">
        <v>1339</v>
      </c>
      <c r="D263" s="302" t="s">
        <v>22</v>
      </c>
      <c r="E263" s="303" t="s">
        <v>270</v>
      </c>
      <c r="F263" s="303" t="s">
        <v>814</v>
      </c>
      <c r="G263" s="303" t="s">
        <v>21</v>
      </c>
      <c r="H263" s="306" t="s">
        <v>24</v>
      </c>
      <c r="I263" s="306" t="s">
        <v>25</v>
      </c>
      <c r="J263" s="306" t="s">
        <v>34</v>
      </c>
      <c r="K263" s="307" t="s">
        <v>33</v>
      </c>
    </row>
    <row r="264" spans="3:11" ht="15.75" x14ac:dyDescent="0.25">
      <c r="C264" s="300" t="s">
        <v>1338</v>
      </c>
      <c r="D264" s="302" t="s">
        <v>22</v>
      </c>
      <c r="E264" s="303" t="s">
        <v>270</v>
      </c>
      <c r="F264" s="303" t="s">
        <v>32</v>
      </c>
      <c r="G264" s="303" t="s">
        <v>21</v>
      </c>
      <c r="H264" s="306" t="s">
        <v>24</v>
      </c>
      <c r="I264" s="306" t="s">
        <v>25</v>
      </c>
      <c r="J264" s="306" t="s">
        <v>34</v>
      </c>
      <c r="K264" s="307" t="s">
        <v>33</v>
      </c>
    </row>
    <row r="265" spans="3:11" ht="15.75" x14ac:dyDescent="0.25">
      <c r="C265" s="300" t="s">
        <v>1337</v>
      </c>
      <c r="D265" s="302" t="s">
        <v>22</v>
      </c>
      <c r="E265" s="303" t="s">
        <v>270</v>
      </c>
      <c r="F265" s="303" t="s">
        <v>814</v>
      </c>
      <c r="G265" s="303" t="s">
        <v>21</v>
      </c>
      <c r="H265" s="306" t="s">
        <v>24</v>
      </c>
      <c r="I265" s="306" t="s">
        <v>25</v>
      </c>
      <c r="J265" s="306" t="s">
        <v>34</v>
      </c>
      <c r="K265" s="307" t="s">
        <v>32</v>
      </c>
    </row>
    <row r="266" spans="3:11" ht="15.75" x14ac:dyDescent="0.25">
      <c r="C266" s="300" t="s">
        <v>1336</v>
      </c>
      <c r="D266" s="302" t="s">
        <v>22</v>
      </c>
      <c r="E266" s="303" t="s">
        <v>270</v>
      </c>
      <c r="F266" s="303" t="s">
        <v>814</v>
      </c>
      <c r="G266" s="303" t="s">
        <v>21</v>
      </c>
      <c r="H266" s="306" t="s">
        <v>24</v>
      </c>
      <c r="I266" s="306" t="s">
        <v>25</v>
      </c>
      <c r="J266" s="306" t="s">
        <v>32</v>
      </c>
      <c r="K266" s="307" t="s">
        <v>33</v>
      </c>
    </row>
    <row r="267" spans="3:11" ht="15.75" x14ac:dyDescent="0.25">
      <c r="C267" s="300" t="s">
        <v>1335</v>
      </c>
      <c r="D267" s="302" t="s">
        <v>31</v>
      </c>
      <c r="E267" s="303" t="s">
        <v>270</v>
      </c>
      <c r="F267" s="303" t="s">
        <v>22</v>
      </c>
      <c r="G267" s="303" t="s">
        <v>21</v>
      </c>
      <c r="H267" s="306" t="s">
        <v>24</v>
      </c>
      <c r="I267" s="306" t="s">
        <v>25</v>
      </c>
      <c r="J267" s="306" t="s">
        <v>34</v>
      </c>
      <c r="K267" s="307" t="s">
        <v>33</v>
      </c>
    </row>
    <row r="268" spans="3:11" ht="15.75" x14ac:dyDescent="0.25">
      <c r="C268" s="300" t="s">
        <v>1334</v>
      </c>
      <c r="D268" s="302" t="s">
        <v>31</v>
      </c>
      <c r="E268" s="303" t="s">
        <v>270</v>
      </c>
      <c r="F268" s="303" t="s">
        <v>814</v>
      </c>
      <c r="G268" s="303" t="s">
        <v>21</v>
      </c>
      <c r="H268" s="306" t="s">
        <v>24</v>
      </c>
      <c r="I268" s="306" t="s">
        <v>25</v>
      </c>
      <c r="J268" s="306" t="s">
        <v>34</v>
      </c>
      <c r="K268" s="307" t="s">
        <v>22</v>
      </c>
    </row>
    <row r="269" spans="3:11" ht="15.75" x14ac:dyDescent="0.25">
      <c r="C269" s="300" t="s">
        <v>1333</v>
      </c>
      <c r="D269" s="302" t="s">
        <v>31</v>
      </c>
      <c r="E269" s="303" t="s">
        <v>270</v>
      </c>
      <c r="F269" s="303" t="s">
        <v>814</v>
      </c>
      <c r="G269" s="303" t="s">
        <v>21</v>
      </c>
      <c r="H269" s="306" t="s">
        <v>24</v>
      </c>
      <c r="I269" s="306" t="s">
        <v>25</v>
      </c>
      <c r="J269" s="306" t="s">
        <v>22</v>
      </c>
      <c r="K269" s="307" t="s">
        <v>33</v>
      </c>
    </row>
    <row r="270" spans="3:11" ht="15.75" x14ac:dyDescent="0.25">
      <c r="C270" s="300" t="s">
        <v>1332</v>
      </c>
      <c r="D270" s="302" t="s">
        <v>31</v>
      </c>
      <c r="E270" s="303" t="s">
        <v>270</v>
      </c>
      <c r="F270" s="303" t="s">
        <v>22</v>
      </c>
      <c r="G270" s="303" t="s">
        <v>21</v>
      </c>
      <c r="H270" s="306" t="s">
        <v>24</v>
      </c>
      <c r="I270" s="306" t="s">
        <v>25</v>
      </c>
      <c r="J270" s="306" t="s">
        <v>34</v>
      </c>
      <c r="K270" s="307" t="s">
        <v>32</v>
      </c>
    </row>
    <row r="271" spans="3:11" ht="15.75" x14ac:dyDescent="0.25">
      <c r="C271" s="300" t="s">
        <v>1331</v>
      </c>
      <c r="D271" s="302" t="s">
        <v>31</v>
      </c>
      <c r="E271" s="303" t="s">
        <v>270</v>
      </c>
      <c r="F271" s="303" t="s">
        <v>22</v>
      </c>
      <c r="G271" s="303" t="s">
        <v>21</v>
      </c>
      <c r="H271" s="306" t="s">
        <v>24</v>
      </c>
      <c r="I271" s="306" t="s">
        <v>25</v>
      </c>
      <c r="J271" s="306" t="s">
        <v>32</v>
      </c>
      <c r="K271" s="307" t="s">
        <v>33</v>
      </c>
    </row>
    <row r="272" spans="3:11" ht="15.75" x14ac:dyDescent="0.25">
      <c r="C272" s="300" t="s">
        <v>1330</v>
      </c>
      <c r="D272" s="302" t="s">
        <v>31</v>
      </c>
      <c r="E272" s="303" t="s">
        <v>270</v>
      </c>
      <c r="F272" s="303" t="s">
        <v>814</v>
      </c>
      <c r="G272" s="303" t="s">
        <v>21</v>
      </c>
      <c r="H272" s="306" t="s">
        <v>24</v>
      </c>
      <c r="I272" s="306" t="s">
        <v>25</v>
      </c>
      <c r="J272" s="306" t="s">
        <v>22</v>
      </c>
      <c r="K272" s="307" t="s">
        <v>32</v>
      </c>
    </row>
    <row r="273" spans="3:11" ht="15.75" x14ac:dyDescent="0.25">
      <c r="C273" s="300" t="s">
        <v>1329</v>
      </c>
      <c r="D273" s="302" t="s">
        <v>21</v>
      </c>
      <c r="E273" s="303" t="s">
        <v>814</v>
      </c>
      <c r="F273" s="303" t="s">
        <v>22</v>
      </c>
      <c r="G273" s="303" t="s">
        <v>25</v>
      </c>
      <c r="H273" s="306" t="s">
        <v>24</v>
      </c>
      <c r="I273" s="306" t="s">
        <v>23</v>
      </c>
      <c r="J273" s="306" t="s">
        <v>34</v>
      </c>
      <c r="K273" s="307" t="s">
        <v>33</v>
      </c>
    </row>
    <row r="274" spans="3:11" ht="15.75" x14ac:dyDescent="0.25">
      <c r="C274" s="300" t="s">
        <v>1328</v>
      </c>
      <c r="D274" s="302" t="s">
        <v>21</v>
      </c>
      <c r="E274" s="303" t="s">
        <v>22</v>
      </c>
      <c r="F274" s="303" t="s">
        <v>32</v>
      </c>
      <c r="G274" s="303" t="s">
        <v>25</v>
      </c>
      <c r="H274" s="306" t="s">
        <v>24</v>
      </c>
      <c r="I274" s="306" t="s">
        <v>23</v>
      </c>
      <c r="J274" s="306" t="s">
        <v>34</v>
      </c>
      <c r="K274" s="307" t="s">
        <v>33</v>
      </c>
    </row>
    <row r="275" spans="3:11" ht="15.75" x14ac:dyDescent="0.25">
      <c r="C275" s="300" t="s">
        <v>1327</v>
      </c>
      <c r="D275" s="302" t="s">
        <v>21</v>
      </c>
      <c r="E275" s="303" t="s">
        <v>814</v>
      </c>
      <c r="F275" s="303" t="s">
        <v>22</v>
      </c>
      <c r="G275" s="303" t="s">
        <v>25</v>
      </c>
      <c r="H275" s="306" t="s">
        <v>24</v>
      </c>
      <c r="I275" s="306" t="s">
        <v>23</v>
      </c>
      <c r="J275" s="306" t="s">
        <v>34</v>
      </c>
      <c r="K275" s="307" t="s">
        <v>32</v>
      </c>
    </row>
    <row r="276" spans="3:11" ht="15.75" x14ac:dyDescent="0.25">
      <c r="C276" s="300" t="s">
        <v>1326</v>
      </c>
      <c r="D276" s="302" t="s">
        <v>21</v>
      </c>
      <c r="E276" s="303" t="s">
        <v>814</v>
      </c>
      <c r="F276" s="303" t="s">
        <v>22</v>
      </c>
      <c r="G276" s="303" t="s">
        <v>25</v>
      </c>
      <c r="H276" s="306" t="s">
        <v>24</v>
      </c>
      <c r="I276" s="306" t="s">
        <v>23</v>
      </c>
      <c r="J276" s="306" t="s">
        <v>32</v>
      </c>
      <c r="K276" s="307" t="s">
        <v>33</v>
      </c>
    </row>
    <row r="277" spans="3:11" ht="15.75" x14ac:dyDescent="0.25">
      <c r="C277" s="300" t="s">
        <v>1325</v>
      </c>
      <c r="D277" s="302" t="s">
        <v>31</v>
      </c>
      <c r="E277" s="303" t="s">
        <v>22</v>
      </c>
      <c r="F277" s="303" t="s">
        <v>23</v>
      </c>
      <c r="G277" s="303" t="s">
        <v>21</v>
      </c>
      <c r="H277" s="306" t="s">
        <v>24</v>
      </c>
      <c r="I277" s="306" t="s">
        <v>25</v>
      </c>
      <c r="J277" s="306" t="s">
        <v>34</v>
      </c>
      <c r="K277" s="307" t="s">
        <v>33</v>
      </c>
    </row>
    <row r="278" spans="3:11" ht="15.75" x14ac:dyDescent="0.25">
      <c r="C278" s="300" t="s">
        <v>1324</v>
      </c>
      <c r="D278" s="302" t="s">
        <v>31</v>
      </c>
      <c r="E278" s="303" t="s">
        <v>814</v>
      </c>
      <c r="F278" s="303" t="s">
        <v>23</v>
      </c>
      <c r="G278" s="303" t="s">
        <v>21</v>
      </c>
      <c r="H278" s="306" t="s">
        <v>24</v>
      </c>
      <c r="I278" s="306" t="s">
        <v>25</v>
      </c>
      <c r="J278" s="306" t="s">
        <v>34</v>
      </c>
      <c r="K278" s="307" t="s">
        <v>22</v>
      </c>
    </row>
    <row r="279" spans="3:11" ht="15.75" x14ac:dyDescent="0.25">
      <c r="C279" s="300" t="s">
        <v>1323</v>
      </c>
      <c r="D279" s="302" t="s">
        <v>31</v>
      </c>
      <c r="E279" s="303" t="s">
        <v>814</v>
      </c>
      <c r="F279" s="303" t="s">
        <v>22</v>
      </c>
      <c r="G279" s="303" t="s">
        <v>21</v>
      </c>
      <c r="H279" s="306" t="s">
        <v>24</v>
      </c>
      <c r="I279" s="306" t="s">
        <v>23</v>
      </c>
      <c r="J279" s="306" t="s">
        <v>25</v>
      </c>
      <c r="K279" s="307" t="s">
        <v>33</v>
      </c>
    </row>
    <row r="280" spans="3:11" ht="15.75" x14ac:dyDescent="0.25">
      <c r="C280" s="300" t="s">
        <v>1322</v>
      </c>
      <c r="D280" s="302" t="s">
        <v>31</v>
      </c>
      <c r="E280" s="303" t="s">
        <v>22</v>
      </c>
      <c r="F280" s="303" t="s">
        <v>23</v>
      </c>
      <c r="G280" s="303" t="s">
        <v>21</v>
      </c>
      <c r="H280" s="306" t="s">
        <v>24</v>
      </c>
      <c r="I280" s="306" t="s">
        <v>25</v>
      </c>
      <c r="J280" s="306" t="s">
        <v>34</v>
      </c>
      <c r="K280" s="307" t="s">
        <v>32</v>
      </c>
    </row>
    <row r="281" spans="3:11" ht="15.75" x14ac:dyDescent="0.25">
      <c r="C281" s="300" t="s">
        <v>1321</v>
      </c>
      <c r="D281" s="302" t="s">
        <v>31</v>
      </c>
      <c r="E281" s="303" t="s">
        <v>22</v>
      </c>
      <c r="F281" s="303" t="s">
        <v>23</v>
      </c>
      <c r="G281" s="303" t="s">
        <v>21</v>
      </c>
      <c r="H281" s="306" t="s">
        <v>24</v>
      </c>
      <c r="I281" s="306" t="s">
        <v>25</v>
      </c>
      <c r="J281" s="306" t="s">
        <v>32</v>
      </c>
      <c r="K281" s="307" t="s">
        <v>33</v>
      </c>
    </row>
    <row r="282" spans="3:11" ht="15.75" x14ac:dyDescent="0.25">
      <c r="C282" s="300" t="s">
        <v>1320</v>
      </c>
      <c r="D282" s="302" t="s">
        <v>31</v>
      </c>
      <c r="E282" s="303" t="s">
        <v>814</v>
      </c>
      <c r="F282" s="303" t="s">
        <v>22</v>
      </c>
      <c r="G282" s="303" t="s">
        <v>21</v>
      </c>
      <c r="H282" s="306" t="s">
        <v>24</v>
      </c>
      <c r="I282" s="306" t="s">
        <v>23</v>
      </c>
      <c r="J282" s="306" t="s">
        <v>25</v>
      </c>
      <c r="K282" s="307" t="s">
        <v>32</v>
      </c>
    </row>
    <row r="283" spans="3:11" ht="15.75" x14ac:dyDescent="0.25">
      <c r="C283" s="300" t="s">
        <v>1319</v>
      </c>
      <c r="D283" s="302" t="s">
        <v>21</v>
      </c>
      <c r="E283" s="303" t="s">
        <v>270</v>
      </c>
      <c r="F283" s="303" t="s">
        <v>22</v>
      </c>
      <c r="G283" s="303" t="s">
        <v>25</v>
      </c>
      <c r="H283" s="306" t="s">
        <v>24</v>
      </c>
      <c r="I283" s="306" t="s">
        <v>23</v>
      </c>
      <c r="J283" s="306" t="s">
        <v>34</v>
      </c>
      <c r="K283" s="307" t="s">
        <v>33</v>
      </c>
    </row>
    <row r="284" spans="3:11" ht="15.75" x14ac:dyDescent="0.25">
      <c r="C284" s="300" t="s">
        <v>1318</v>
      </c>
      <c r="D284" s="302" t="s">
        <v>21</v>
      </c>
      <c r="E284" s="303" t="s">
        <v>270</v>
      </c>
      <c r="F284" s="303" t="s">
        <v>814</v>
      </c>
      <c r="G284" s="303" t="s">
        <v>25</v>
      </c>
      <c r="H284" s="306" t="s">
        <v>24</v>
      </c>
      <c r="I284" s="306" t="s">
        <v>23</v>
      </c>
      <c r="J284" s="306" t="s">
        <v>34</v>
      </c>
      <c r="K284" s="307" t="s">
        <v>22</v>
      </c>
    </row>
    <row r="285" spans="3:11" ht="15.75" x14ac:dyDescent="0.25">
      <c r="C285" s="300" t="s">
        <v>1317</v>
      </c>
      <c r="D285" s="302" t="s">
        <v>21</v>
      </c>
      <c r="E285" s="303" t="s">
        <v>270</v>
      </c>
      <c r="F285" s="303" t="s">
        <v>814</v>
      </c>
      <c r="G285" s="303" t="s">
        <v>25</v>
      </c>
      <c r="H285" s="306" t="s">
        <v>24</v>
      </c>
      <c r="I285" s="306" t="s">
        <v>23</v>
      </c>
      <c r="J285" s="306" t="s">
        <v>22</v>
      </c>
      <c r="K285" s="307" t="s">
        <v>33</v>
      </c>
    </row>
    <row r="286" spans="3:11" ht="15.75" x14ac:dyDescent="0.25">
      <c r="C286" s="300" t="s">
        <v>1316</v>
      </c>
      <c r="D286" s="302" t="s">
        <v>21</v>
      </c>
      <c r="E286" s="303" t="s">
        <v>270</v>
      </c>
      <c r="F286" s="303" t="s">
        <v>22</v>
      </c>
      <c r="G286" s="303" t="s">
        <v>25</v>
      </c>
      <c r="H286" s="306" t="s">
        <v>24</v>
      </c>
      <c r="I286" s="306" t="s">
        <v>23</v>
      </c>
      <c r="J286" s="306" t="s">
        <v>34</v>
      </c>
      <c r="K286" s="307" t="s">
        <v>32</v>
      </c>
    </row>
    <row r="287" spans="3:11" ht="15.75" x14ac:dyDescent="0.25">
      <c r="C287" s="300" t="s">
        <v>1315</v>
      </c>
      <c r="D287" s="302" t="s">
        <v>21</v>
      </c>
      <c r="E287" s="303" t="s">
        <v>270</v>
      </c>
      <c r="F287" s="303" t="s">
        <v>22</v>
      </c>
      <c r="G287" s="303" t="s">
        <v>25</v>
      </c>
      <c r="H287" s="306" t="s">
        <v>24</v>
      </c>
      <c r="I287" s="306" t="s">
        <v>23</v>
      </c>
      <c r="J287" s="306" t="s">
        <v>32</v>
      </c>
      <c r="K287" s="307" t="s">
        <v>33</v>
      </c>
    </row>
    <row r="288" spans="3:11" ht="15.75" x14ac:dyDescent="0.25">
      <c r="C288" s="300" t="s">
        <v>1314</v>
      </c>
      <c r="D288" s="302" t="s">
        <v>21</v>
      </c>
      <c r="E288" s="303" t="s">
        <v>270</v>
      </c>
      <c r="F288" s="303" t="s">
        <v>814</v>
      </c>
      <c r="G288" s="303" t="s">
        <v>25</v>
      </c>
      <c r="H288" s="306" t="s">
        <v>24</v>
      </c>
      <c r="I288" s="306" t="s">
        <v>23</v>
      </c>
      <c r="J288" s="306" t="s">
        <v>22</v>
      </c>
      <c r="K288" s="307" t="s">
        <v>32</v>
      </c>
    </row>
    <row r="289" spans="3:11" ht="15.75" x14ac:dyDescent="0.25">
      <c r="C289" s="300" t="s">
        <v>1313</v>
      </c>
      <c r="D289" s="302" t="s">
        <v>31</v>
      </c>
      <c r="E289" s="303" t="s">
        <v>270</v>
      </c>
      <c r="F289" s="303" t="s">
        <v>23</v>
      </c>
      <c r="G289" s="303" t="s">
        <v>21</v>
      </c>
      <c r="H289" s="306" t="s">
        <v>24</v>
      </c>
      <c r="I289" s="306" t="s">
        <v>25</v>
      </c>
      <c r="J289" s="306" t="s">
        <v>34</v>
      </c>
      <c r="K289" s="307" t="s">
        <v>22</v>
      </c>
    </row>
    <row r="290" spans="3:11" ht="15.75" x14ac:dyDescent="0.25">
      <c r="C290" s="300" t="s">
        <v>1312</v>
      </c>
      <c r="D290" s="302" t="s">
        <v>31</v>
      </c>
      <c r="E290" s="303" t="s">
        <v>270</v>
      </c>
      <c r="F290" s="303" t="s">
        <v>22</v>
      </c>
      <c r="G290" s="303" t="s">
        <v>21</v>
      </c>
      <c r="H290" s="306" t="s">
        <v>24</v>
      </c>
      <c r="I290" s="306" t="s">
        <v>23</v>
      </c>
      <c r="J290" s="306" t="s">
        <v>25</v>
      </c>
      <c r="K290" s="307" t="s">
        <v>33</v>
      </c>
    </row>
    <row r="291" spans="3:11" ht="15.75" x14ac:dyDescent="0.25">
      <c r="C291" s="300" t="s">
        <v>1311</v>
      </c>
      <c r="D291" s="302" t="s">
        <v>31</v>
      </c>
      <c r="E291" s="303" t="s">
        <v>270</v>
      </c>
      <c r="F291" s="303" t="s">
        <v>814</v>
      </c>
      <c r="G291" s="303" t="s">
        <v>21</v>
      </c>
      <c r="H291" s="306" t="s">
        <v>24</v>
      </c>
      <c r="I291" s="306" t="s">
        <v>23</v>
      </c>
      <c r="J291" s="306" t="s">
        <v>25</v>
      </c>
      <c r="K291" s="307" t="s">
        <v>22</v>
      </c>
    </row>
    <row r="292" spans="3:11" ht="15.75" x14ac:dyDescent="0.25">
      <c r="C292" s="300" t="s">
        <v>1310</v>
      </c>
      <c r="D292" s="302" t="s">
        <v>31</v>
      </c>
      <c r="E292" s="303" t="s">
        <v>270</v>
      </c>
      <c r="F292" s="303" t="s">
        <v>22</v>
      </c>
      <c r="G292" s="303" t="s">
        <v>21</v>
      </c>
      <c r="H292" s="306" t="s">
        <v>24</v>
      </c>
      <c r="I292" s="306" t="s">
        <v>23</v>
      </c>
      <c r="J292" s="306" t="s">
        <v>25</v>
      </c>
      <c r="K292" s="307" t="s">
        <v>32</v>
      </c>
    </row>
    <row r="293" spans="3:11" ht="15.75" x14ac:dyDescent="0.25">
      <c r="C293" s="300" t="s">
        <v>1309</v>
      </c>
      <c r="D293" s="302" t="s">
        <v>31</v>
      </c>
      <c r="E293" s="303" t="s">
        <v>814</v>
      </c>
      <c r="F293" s="303" t="s">
        <v>20</v>
      </c>
      <c r="G293" s="303" t="s">
        <v>24</v>
      </c>
      <c r="H293" s="306" t="s">
        <v>32</v>
      </c>
      <c r="I293" s="306" t="s">
        <v>270</v>
      </c>
      <c r="J293" s="306" t="s">
        <v>34</v>
      </c>
      <c r="K293" s="307" t="s">
        <v>33</v>
      </c>
    </row>
    <row r="294" spans="3:11" ht="15.75" x14ac:dyDescent="0.25">
      <c r="C294" s="300" t="s">
        <v>1308</v>
      </c>
      <c r="D294" s="302" t="s">
        <v>31</v>
      </c>
      <c r="E294" s="303" t="s">
        <v>814</v>
      </c>
      <c r="F294" s="303" t="s">
        <v>20</v>
      </c>
      <c r="G294" s="303" t="s">
        <v>24</v>
      </c>
      <c r="H294" s="306" t="s">
        <v>32</v>
      </c>
      <c r="I294" s="306" t="s">
        <v>23</v>
      </c>
      <c r="J294" s="306" t="s">
        <v>34</v>
      </c>
      <c r="K294" s="307" t="s">
        <v>33</v>
      </c>
    </row>
    <row r="295" spans="3:11" ht="15.75" x14ac:dyDescent="0.25">
      <c r="C295" s="300" t="s">
        <v>1307</v>
      </c>
      <c r="D295" s="302" t="s">
        <v>32</v>
      </c>
      <c r="E295" s="303" t="s">
        <v>814</v>
      </c>
      <c r="F295" s="303" t="s">
        <v>20</v>
      </c>
      <c r="G295" s="303" t="s">
        <v>23</v>
      </c>
      <c r="H295" s="306" t="s">
        <v>24</v>
      </c>
      <c r="I295" s="306" t="s">
        <v>270</v>
      </c>
      <c r="J295" s="306" t="s">
        <v>34</v>
      </c>
      <c r="K295" s="307" t="s">
        <v>33</v>
      </c>
    </row>
    <row r="296" spans="3:11" ht="15.75" x14ac:dyDescent="0.25">
      <c r="C296" s="300" t="s">
        <v>1306</v>
      </c>
      <c r="D296" s="302" t="s">
        <v>31</v>
      </c>
      <c r="E296" s="303" t="s">
        <v>814</v>
      </c>
      <c r="F296" s="303" t="s">
        <v>20</v>
      </c>
      <c r="G296" s="303" t="s">
        <v>23</v>
      </c>
      <c r="H296" s="306" t="s">
        <v>24</v>
      </c>
      <c r="I296" s="306" t="s">
        <v>270</v>
      </c>
      <c r="J296" s="306" t="s">
        <v>34</v>
      </c>
      <c r="K296" s="307" t="s">
        <v>33</v>
      </c>
    </row>
    <row r="297" spans="3:11" ht="15.75" x14ac:dyDescent="0.25">
      <c r="C297" s="300" t="s">
        <v>1305</v>
      </c>
      <c r="D297" s="302" t="s">
        <v>31</v>
      </c>
      <c r="E297" s="303" t="s">
        <v>270</v>
      </c>
      <c r="F297" s="303" t="s">
        <v>20</v>
      </c>
      <c r="G297" s="303" t="s">
        <v>24</v>
      </c>
      <c r="H297" s="306" t="s">
        <v>32</v>
      </c>
      <c r="I297" s="306" t="s">
        <v>23</v>
      </c>
      <c r="J297" s="306" t="s">
        <v>34</v>
      </c>
      <c r="K297" s="307" t="s">
        <v>33</v>
      </c>
    </row>
    <row r="298" spans="3:11" ht="15.75" x14ac:dyDescent="0.25">
      <c r="C298" s="300" t="s">
        <v>1304</v>
      </c>
      <c r="D298" s="302" t="s">
        <v>31</v>
      </c>
      <c r="E298" s="303" t="s">
        <v>814</v>
      </c>
      <c r="F298" s="303" t="s">
        <v>20</v>
      </c>
      <c r="G298" s="303" t="s">
        <v>23</v>
      </c>
      <c r="H298" s="306" t="s">
        <v>24</v>
      </c>
      <c r="I298" s="306" t="s">
        <v>270</v>
      </c>
      <c r="J298" s="306" t="s">
        <v>34</v>
      </c>
      <c r="K298" s="307" t="s">
        <v>32</v>
      </c>
    </row>
    <row r="299" spans="3:11" ht="15.75" x14ac:dyDescent="0.25">
      <c r="C299" s="300" t="s">
        <v>1303</v>
      </c>
      <c r="D299" s="302" t="s">
        <v>31</v>
      </c>
      <c r="E299" s="303" t="s">
        <v>814</v>
      </c>
      <c r="F299" s="303" t="s">
        <v>20</v>
      </c>
      <c r="G299" s="303" t="s">
        <v>23</v>
      </c>
      <c r="H299" s="306" t="s">
        <v>24</v>
      </c>
      <c r="I299" s="306" t="s">
        <v>270</v>
      </c>
      <c r="J299" s="306" t="s">
        <v>32</v>
      </c>
      <c r="K299" s="307" t="s">
        <v>33</v>
      </c>
    </row>
    <row r="300" spans="3:11" ht="15.75" x14ac:dyDescent="0.25">
      <c r="C300" s="300" t="s">
        <v>1302</v>
      </c>
      <c r="D300" s="302" t="s">
        <v>22</v>
      </c>
      <c r="E300" s="303" t="s">
        <v>814</v>
      </c>
      <c r="F300" s="303" t="s">
        <v>20</v>
      </c>
      <c r="G300" s="303" t="s">
        <v>24</v>
      </c>
      <c r="H300" s="306" t="s">
        <v>32</v>
      </c>
      <c r="I300" s="306" t="s">
        <v>31</v>
      </c>
      <c r="J300" s="306" t="s">
        <v>34</v>
      </c>
      <c r="K300" s="307" t="s">
        <v>33</v>
      </c>
    </row>
    <row r="301" spans="3:11" ht="15.75" x14ac:dyDescent="0.25">
      <c r="C301" s="300" t="s">
        <v>1301</v>
      </c>
      <c r="D301" s="302" t="s">
        <v>22</v>
      </c>
      <c r="E301" s="303" t="s">
        <v>814</v>
      </c>
      <c r="F301" s="303" t="s">
        <v>20</v>
      </c>
      <c r="G301" s="303" t="s">
        <v>24</v>
      </c>
      <c r="H301" s="306" t="s">
        <v>32</v>
      </c>
      <c r="I301" s="306" t="s">
        <v>270</v>
      </c>
      <c r="J301" s="306" t="s">
        <v>34</v>
      </c>
      <c r="K301" s="307" t="s">
        <v>33</v>
      </c>
    </row>
    <row r="302" spans="3:11" ht="15.75" x14ac:dyDescent="0.25">
      <c r="C302" s="300" t="s">
        <v>1300</v>
      </c>
      <c r="D302" s="302" t="s">
        <v>22</v>
      </c>
      <c r="E302" s="303" t="s">
        <v>814</v>
      </c>
      <c r="F302" s="303" t="s">
        <v>20</v>
      </c>
      <c r="G302" s="303" t="s">
        <v>24</v>
      </c>
      <c r="H302" s="306" t="s">
        <v>31</v>
      </c>
      <c r="I302" s="306" t="s">
        <v>270</v>
      </c>
      <c r="J302" s="306" t="s">
        <v>34</v>
      </c>
      <c r="K302" s="307" t="s">
        <v>33</v>
      </c>
    </row>
    <row r="303" spans="3:11" ht="15.75" x14ac:dyDescent="0.25">
      <c r="C303" s="300" t="s">
        <v>1299</v>
      </c>
      <c r="D303" s="302" t="s">
        <v>22</v>
      </c>
      <c r="E303" s="303" t="s">
        <v>270</v>
      </c>
      <c r="F303" s="303" t="s">
        <v>20</v>
      </c>
      <c r="G303" s="303" t="s">
        <v>24</v>
      </c>
      <c r="H303" s="306" t="s">
        <v>32</v>
      </c>
      <c r="I303" s="306" t="s">
        <v>31</v>
      </c>
      <c r="J303" s="306" t="s">
        <v>34</v>
      </c>
      <c r="K303" s="307" t="s">
        <v>33</v>
      </c>
    </row>
    <row r="304" spans="3:11" ht="15.75" x14ac:dyDescent="0.25">
      <c r="C304" s="300" t="s">
        <v>1298</v>
      </c>
      <c r="D304" s="302" t="s">
        <v>22</v>
      </c>
      <c r="E304" s="303" t="s">
        <v>814</v>
      </c>
      <c r="F304" s="303" t="s">
        <v>20</v>
      </c>
      <c r="G304" s="303" t="s">
        <v>24</v>
      </c>
      <c r="H304" s="306" t="s">
        <v>31</v>
      </c>
      <c r="I304" s="306" t="s">
        <v>270</v>
      </c>
      <c r="J304" s="306" t="s">
        <v>34</v>
      </c>
      <c r="K304" s="307" t="s">
        <v>32</v>
      </c>
    </row>
    <row r="305" spans="3:11" ht="15.75" x14ac:dyDescent="0.25">
      <c r="C305" s="300" t="s">
        <v>1297</v>
      </c>
      <c r="D305" s="302" t="s">
        <v>22</v>
      </c>
      <c r="E305" s="303" t="s">
        <v>814</v>
      </c>
      <c r="F305" s="303" t="s">
        <v>20</v>
      </c>
      <c r="G305" s="303" t="s">
        <v>24</v>
      </c>
      <c r="H305" s="306" t="s">
        <v>31</v>
      </c>
      <c r="I305" s="306" t="s">
        <v>270</v>
      </c>
      <c r="J305" s="306" t="s">
        <v>32</v>
      </c>
      <c r="K305" s="307" t="s">
        <v>33</v>
      </c>
    </row>
    <row r="306" spans="3:11" ht="15.75" x14ac:dyDescent="0.25">
      <c r="C306" s="300" t="s">
        <v>1296</v>
      </c>
      <c r="D306" s="302" t="s">
        <v>22</v>
      </c>
      <c r="E306" s="303" t="s">
        <v>814</v>
      </c>
      <c r="F306" s="303" t="s">
        <v>20</v>
      </c>
      <c r="G306" s="303" t="s">
        <v>24</v>
      </c>
      <c r="H306" s="306" t="s">
        <v>32</v>
      </c>
      <c r="I306" s="306" t="s">
        <v>23</v>
      </c>
      <c r="J306" s="306" t="s">
        <v>34</v>
      </c>
      <c r="K306" s="307" t="s">
        <v>33</v>
      </c>
    </row>
    <row r="307" spans="3:11" ht="15.75" x14ac:dyDescent="0.25">
      <c r="C307" s="300" t="s">
        <v>1295</v>
      </c>
      <c r="D307" s="302" t="s">
        <v>22</v>
      </c>
      <c r="E307" s="303" t="s">
        <v>814</v>
      </c>
      <c r="F307" s="303" t="s">
        <v>20</v>
      </c>
      <c r="G307" s="303" t="s">
        <v>23</v>
      </c>
      <c r="H307" s="306" t="s">
        <v>24</v>
      </c>
      <c r="I307" s="306" t="s">
        <v>31</v>
      </c>
      <c r="J307" s="306" t="s">
        <v>34</v>
      </c>
      <c r="K307" s="307" t="s">
        <v>33</v>
      </c>
    </row>
    <row r="308" spans="3:11" ht="15.75" x14ac:dyDescent="0.25">
      <c r="C308" s="300" t="s">
        <v>1294</v>
      </c>
      <c r="D308" s="302" t="s">
        <v>22</v>
      </c>
      <c r="E308" s="303" t="s">
        <v>32</v>
      </c>
      <c r="F308" s="303" t="s">
        <v>20</v>
      </c>
      <c r="G308" s="303" t="s">
        <v>23</v>
      </c>
      <c r="H308" s="306" t="s">
        <v>24</v>
      </c>
      <c r="I308" s="306" t="s">
        <v>31</v>
      </c>
      <c r="J308" s="306" t="s">
        <v>34</v>
      </c>
      <c r="K308" s="307" t="s">
        <v>33</v>
      </c>
    </row>
    <row r="309" spans="3:11" ht="15.75" x14ac:dyDescent="0.25">
      <c r="C309" s="300" t="s">
        <v>1293</v>
      </c>
      <c r="D309" s="302" t="s">
        <v>22</v>
      </c>
      <c r="E309" s="303" t="s">
        <v>814</v>
      </c>
      <c r="F309" s="303" t="s">
        <v>20</v>
      </c>
      <c r="G309" s="303" t="s">
        <v>23</v>
      </c>
      <c r="H309" s="306" t="s">
        <v>24</v>
      </c>
      <c r="I309" s="306" t="s">
        <v>31</v>
      </c>
      <c r="J309" s="306" t="s">
        <v>34</v>
      </c>
      <c r="K309" s="307" t="s">
        <v>32</v>
      </c>
    </row>
    <row r="310" spans="3:11" ht="15.75" x14ac:dyDescent="0.25">
      <c r="C310" s="300" t="s">
        <v>1292</v>
      </c>
      <c r="D310" s="302" t="s">
        <v>22</v>
      </c>
      <c r="E310" s="303" t="s">
        <v>814</v>
      </c>
      <c r="F310" s="303" t="s">
        <v>20</v>
      </c>
      <c r="G310" s="303" t="s">
        <v>23</v>
      </c>
      <c r="H310" s="306" t="s">
        <v>24</v>
      </c>
      <c r="I310" s="306" t="s">
        <v>31</v>
      </c>
      <c r="J310" s="306" t="s">
        <v>32</v>
      </c>
      <c r="K310" s="307" t="s">
        <v>33</v>
      </c>
    </row>
    <row r="311" spans="3:11" ht="15.75" x14ac:dyDescent="0.25">
      <c r="C311" s="300" t="s">
        <v>1291</v>
      </c>
      <c r="D311" s="302" t="s">
        <v>22</v>
      </c>
      <c r="E311" s="303" t="s">
        <v>814</v>
      </c>
      <c r="F311" s="303" t="s">
        <v>20</v>
      </c>
      <c r="G311" s="303" t="s">
        <v>23</v>
      </c>
      <c r="H311" s="306" t="s">
        <v>24</v>
      </c>
      <c r="I311" s="306" t="s">
        <v>270</v>
      </c>
      <c r="J311" s="306" t="s">
        <v>34</v>
      </c>
      <c r="K311" s="307" t="s">
        <v>33</v>
      </c>
    </row>
    <row r="312" spans="3:11" ht="15.75" x14ac:dyDescent="0.25">
      <c r="C312" s="300" t="s">
        <v>1290</v>
      </c>
      <c r="D312" s="302" t="s">
        <v>22</v>
      </c>
      <c r="E312" s="303" t="s">
        <v>270</v>
      </c>
      <c r="F312" s="303" t="s">
        <v>20</v>
      </c>
      <c r="G312" s="303" t="s">
        <v>24</v>
      </c>
      <c r="H312" s="306" t="s">
        <v>32</v>
      </c>
      <c r="I312" s="306" t="s">
        <v>23</v>
      </c>
      <c r="J312" s="306" t="s">
        <v>34</v>
      </c>
      <c r="K312" s="307" t="s">
        <v>33</v>
      </c>
    </row>
    <row r="313" spans="3:11" ht="15.75" x14ac:dyDescent="0.25">
      <c r="C313" s="300" t="s">
        <v>1289</v>
      </c>
      <c r="D313" s="302" t="s">
        <v>22</v>
      </c>
      <c r="E313" s="303" t="s">
        <v>814</v>
      </c>
      <c r="F313" s="303" t="s">
        <v>20</v>
      </c>
      <c r="G313" s="303" t="s">
        <v>23</v>
      </c>
      <c r="H313" s="306" t="s">
        <v>24</v>
      </c>
      <c r="I313" s="306" t="s">
        <v>270</v>
      </c>
      <c r="J313" s="306" t="s">
        <v>34</v>
      </c>
      <c r="K313" s="307" t="s">
        <v>32</v>
      </c>
    </row>
    <row r="314" spans="3:11" ht="15.75" x14ac:dyDescent="0.25">
      <c r="C314" s="300" t="s">
        <v>1288</v>
      </c>
      <c r="D314" s="302" t="s">
        <v>22</v>
      </c>
      <c r="E314" s="303" t="s">
        <v>814</v>
      </c>
      <c r="F314" s="303" t="s">
        <v>20</v>
      </c>
      <c r="G314" s="303" t="s">
        <v>23</v>
      </c>
      <c r="H314" s="306" t="s">
        <v>24</v>
      </c>
      <c r="I314" s="306" t="s">
        <v>270</v>
      </c>
      <c r="J314" s="306" t="s">
        <v>32</v>
      </c>
      <c r="K314" s="307" t="s">
        <v>33</v>
      </c>
    </row>
    <row r="315" spans="3:11" ht="15.75" x14ac:dyDescent="0.25">
      <c r="C315" s="300" t="s">
        <v>1287</v>
      </c>
      <c r="D315" s="302" t="s">
        <v>22</v>
      </c>
      <c r="E315" s="303" t="s">
        <v>270</v>
      </c>
      <c r="F315" s="303" t="s">
        <v>20</v>
      </c>
      <c r="G315" s="303" t="s">
        <v>23</v>
      </c>
      <c r="H315" s="306" t="s">
        <v>24</v>
      </c>
      <c r="I315" s="306" t="s">
        <v>31</v>
      </c>
      <c r="J315" s="306" t="s">
        <v>34</v>
      </c>
      <c r="K315" s="307" t="s">
        <v>33</v>
      </c>
    </row>
    <row r="316" spans="3:11" ht="15.75" x14ac:dyDescent="0.25">
      <c r="C316" s="300" t="s">
        <v>1286</v>
      </c>
      <c r="D316" s="302" t="s">
        <v>31</v>
      </c>
      <c r="E316" s="303" t="s">
        <v>814</v>
      </c>
      <c r="F316" s="303" t="s">
        <v>20</v>
      </c>
      <c r="G316" s="303" t="s">
        <v>23</v>
      </c>
      <c r="H316" s="306" t="s">
        <v>24</v>
      </c>
      <c r="I316" s="306" t="s">
        <v>270</v>
      </c>
      <c r="J316" s="306" t="s">
        <v>34</v>
      </c>
      <c r="K316" s="307" t="s">
        <v>22</v>
      </c>
    </row>
    <row r="317" spans="3:11" ht="15.75" x14ac:dyDescent="0.25">
      <c r="C317" s="300" t="s">
        <v>1285</v>
      </c>
      <c r="D317" s="302" t="s">
        <v>31</v>
      </c>
      <c r="E317" s="303" t="s">
        <v>814</v>
      </c>
      <c r="F317" s="303" t="s">
        <v>20</v>
      </c>
      <c r="G317" s="303" t="s">
        <v>23</v>
      </c>
      <c r="H317" s="306" t="s">
        <v>24</v>
      </c>
      <c r="I317" s="306" t="s">
        <v>270</v>
      </c>
      <c r="J317" s="306" t="s">
        <v>22</v>
      </c>
      <c r="K317" s="307" t="s">
        <v>33</v>
      </c>
    </row>
    <row r="318" spans="3:11" ht="15.75" x14ac:dyDescent="0.25">
      <c r="C318" s="300" t="s">
        <v>1284</v>
      </c>
      <c r="D318" s="302" t="s">
        <v>22</v>
      </c>
      <c r="E318" s="303" t="s">
        <v>270</v>
      </c>
      <c r="F318" s="303" t="s">
        <v>20</v>
      </c>
      <c r="G318" s="303" t="s">
        <v>23</v>
      </c>
      <c r="H318" s="306" t="s">
        <v>24</v>
      </c>
      <c r="I318" s="306" t="s">
        <v>31</v>
      </c>
      <c r="J318" s="306" t="s">
        <v>34</v>
      </c>
      <c r="K318" s="307" t="s">
        <v>32</v>
      </c>
    </row>
    <row r="319" spans="3:11" ht="15.75" x14ac:dyDescent="0.25">
      <c r="C319" s="300" t="s">
        <v>1283</v>
      </c>
      <c r="D319" s="302" t="s">
        <v>22</v>
      </c>
      <c r="E319" s="303" t="s">
        <v>270</v>
      </c>
      <c r="F319" s="303" t="s">
        <v>20</v>
      </c>
      <c r="G319" s="303" t="s">
        <v>23</v>
      </c>
      <c r="H319" s="306" t="s">
        <v>24</v>
      </c>
      <c r="I319" s="306" t="s">
        <v>31</v>
      </c>
      <c r="J319" s="306" t="s">
        <v>32</v>
      </c>
      <c r="K319" s="307" t="s">
        <v>33</v>
      </c>
    </row>
    <row r="320" spans="3:11" ht="15.75" x14ac:dyDescent="0.25">
      <c r="C320" s="300" t="s">
        <v>1282</v>
      </c>
      <c r="D320" s="302" t="s">
        <v>31</v>
      </c>
      <c r="E320" s="303" t="s">
        <v>814</v>
      </c>
      <c r="F320" s="303" t="s">
        <v>20</v>
      </c>
      <c r="G320" s="303" t="s">
        <v>23</v>
      </c>
      <c r="H320" s="306" t="s">
        <v>24</v>
      </c>
      <c r="I320" s="306" t="s">
        <v>270</v>
      </c>
      <c r="J320" s="306" t="s">
        <v>22</v>
      </c>
      <c r="K320" s="307" t="s">
        <v>32</v>
      </c>
    </row>
    <row r="321" spans="3:11" ht="15.75" x14ac:dyDescent="0.25">
      <c r="C321" s="300" t="s">
        <v>1281</v>
      </c>
      <c r="D321" s="302" t="s">
        <v>32</v>
      </c>
      <c r="E321" s="303" t="s">
        <v>814</v>
      </c>
      <c r="F321" s="303" t="s">
        <v>20</v>
      </c>
      <c r="G321" s="303" t="s">
        <v>25</v>
      </c>
      <c r="H321" s="306" t="s">
        <v>24</v>
      </c>
      <c r="I321" s="306" t="s">
        <v>31</v>
      </c>
      <c r="J321" s="306" t="s">
        <v>34</v>
      </c>
      <c r="K321" s="307" t="s">
        <v>33</v>
      </c>
    </row>
    <row r="322" spans="3:11" ht="15.75" x14ac:dyDescent="0.25">
      <c r="C322" s="300" t="s">
        <v>1280</v>
      </c>
      <c r="D322" s="302" t="s">
        <v>32</v>
      </c>
      <c r="E322" s="303" t="s">
        <v>814</v>
      </c>
      <c r="F322" s="303" t="s">
        <v>20</v>
      </c>
      <c r="G322" s="303" t="s">
        <v>25</v>
      </c>
      <c r="H322" s="306" t="s">
        <v>24</v>
      </c>
      <c r="I322" s="306" t="s">
        <v>270</v>
      </c>
      <c r="J322" s="306" t="s">
        <v>34</v>
      </c>
      <c r="K322" s="307" t="s">
        <v>33</v>
      </c>
    </row>
    <row r="323" spans="3:11" ht="15.75" x14ac:dyDescent="0.25">
      <c r="C323" s="300" t="s">
        <v>1279</v>
      </c>
      <c r="D323" s="302" t="s">
        <v>31</v>
      </c>
      <c r="E323" s="303" t="s">
        <v>814</v>
      </c>
      <c r="F323" s="303" t="s">
        <v>20</v>
      </c>
      <c r="G323" s="303" t="s">
        <v>25</v>
      </c>
      <c r="H323" s="306" t="s">
        <v>24</v>
      </c>
      <c r="I323" s="306" t="s">
        <v>270</v>
      </c>
      <c r="J323" s="306" t="s">
        <v>34</v>
      </c>
      <c r="K323" s="307" t="s">
        <v>33</v>
      </c>
    </row>
    <row r="324" spans="3:11" ht="15.75" x14ac:dyDescent="0.25">
      <c r="C324" s="300" t="s">
        <v>1278</v>
      </c>
      <c r="D324" s="302" t="s">
        <v>32</v>
      </c>
      <c r="E324" s="303" t="s">
        <v>270</v>
      </c>
      <c r="F324" s="303" t="s">
        <v>20</v>
      </c>
      <c r="G324" s="303" t="s">
        <v>25</v>
      </c>
      <c r="H324" s="306" t="s">
        <v>24</v>
      </c>
      <c r="I324" s="306" t="s">
        <v>31</v>
      </c>
      <c r="J324" s="306" t="s">
        <v>34</v>
      </c>
      <c r="K324" s="307" t="s">
        <v>33</v>
      </c>
    </row>
    <row r="325" spans="3:11" ht="15.75" x14ac:dyDescent="0.25">
      <c r="C325" s="300" t="s">
        <v>1277</v>
      </c>
      <c r="D325" s="302" t="s">
        <v>31</v>
      </c>
      <c r="E325" s="303" t="s">
        <v>814</v>
      </c>
      <c r="F325" s="303" t="s">
        <v>20</v>
      </c>
      <c r="G325" s="303" t="s">
        <v>25</v>
      </c>
      <c r="H325" s="306" t="s">
        <v>24</v>
      </c>
      <c r="I325" s="306" t="s">
        <v>270</v>
      </c>
      <c r="J325" s="306" t="s">
        <v>34</v>
      </c>
      <c r="K325" s="307" t="s">
        <v>32</v>
      </c>
    </row>
    <row r="326" spans="3:11" ht="15.75" x14ac:dyDescent="0.25">
      <c r="C326" s="300" t="s">
        <v>1276</v>
      </c>
      <c r="D326" s="302" t="s">
        <v>31</v>
      </c>
      <c r="E326" s="303" t="s">
        <v>814</v>
      </c>
      <c r="F326" s="303" t="s">
        <v>20</v>
      </c>
      <c r="G326" s="303" t="s">
        <v>25</v>
      </c>
      <c r="H326" s="306" t="s">
        <v>24</v>
      </c>
      <c r="I326" s="306" t="s">
        <v>270</v>
      </c>
      <c r="J326" s="306" t="s">
        <v>32</v>
      </c>
      <c r="K326" s="307" t="s">
        <v>33</v>
      </c>
    </row>
    <row r="327" spans="3:11" ht="15.75" x14ac:dyDescent="0.25">
      <c r="C327" s="300" t="s">
        <v>1275</v>
      </c>
      <c r="D327" s="302" t="s">
        <v>32</v>
      </c>
      <c r="E327" s="303" t="s">
        <v>814</v>
      </c>
      <c r="F327" s="303" t="s">
        <v>20</v>
      </c>
      <c r="G327" s="303" t="s">
        <v>25</v>
      </c>
      <c r="H327" s="306" t="s">
        <v>24</v>
      </c>
      <c r="I327" s="306" t="s">
        <v>23</v>
      </c>
      <c r="J327" s="306" t="s">
        <v>34</v>
      </c>
      <c r="K327" s="307" t="s">
        <v>33</v>
      </c>
    </row>
    <row r="328" spans="3:11" ht="15.75" x14ac:dyDescent="0.25">
      <c r="C328" s="300" t="s">
        <v>1274</v>
      </c>
      <c r="D328" s="302" t="s">
        <v>31</v>
      </c>
      <c r="E328" s="303" t="s">
        <v>814</v>
      </c>
      <c r="F328" s="303" t="s">
        <v>20</v>
      </c>
      <c r="G328" s="303" t="s">
        <v>25</v>
      </c>
      <c r="H328" s="306" t="s">
        <v>24</v>
      </c>
      <c r="I328" s="306" t="s">
        <v>23</v>
      </c>
      <c r="J328" s="306" t="s">
        <v>34</v>
      </c>
      <c r="K328" s="307" t="s">
        <v>33</v>
      </c>
    </row>
    <row r="329" spans="3:11" ht="15.75" x14ac:dyDescent="0.25">
      <c r="C329" s="300" t="s">
        <v>1273</v>
      </c>
      <c r="D329" s="302" t="s">
        <v>31</v>
      </c>
      <c r="E329" s="303" t="s">
        <v>32</v>
      </c>
      <c r="F329" s="303" t="s">
        <v>20</v>
      </c>
      <c r="G329" s="303" t="s">
        <v>25</v>
      </c>
      <c r="H329" s="306" t="s">
        <v>24</v>
      </c>
      <c r="I329" s="306" t="s">
        <v>23</v>
      </c>
      <c r="J329" s="306" t="s">
        <v>34</v>
      </c>
      <c r="K329" s="307" t="s">
        <v>33</v>
      </c>
    </row>
    <row r="330" spans="3:11" ht="15.75" x14ac:dyDescent="0.25">
      <c r="C330" s="300" t="s">
        <v>1272</v>
      </c>
      <c r="D330" s="302" t="s">
        <v>31</v>
      </c>
      <c r="E330" s="303" t="s">
        <v>814</v>
      </c>
      <c r="F330" s="303" t="s">
        <v>20</v>
      </c>
      <c r="G330" s="303" t="s">
        <v>25</v>
      </c>
      <c r="H330" s="306" t="s">
        <v>24</v>
      </c>
      <c r="I330" s="306" t="s">
        <v>23</v>
      </c>
      <c r="J330" s="306" t="s">
        <v>34</v>
      </c>
      <c r="K330" s="307" t="s">
        <v>32</v>
      </c>
    </row>
    <row r="331" spans="3:11" ht="15.75" x14ac:dyDescent="0.25">
      <c r="C331" s="300" t="s">
        <v>1271</v>
      </c>
      <c r="D331" s="302" t="s">
        <v>31</v>
      </c>
      <c r="E331" s="303" t="s">
        <v>814</v>
      </c>
      <c r="F331" s="303" t="s">
        <v>20</v>
      </c>
      <c r="G331" s="303" t="s">
        <v>25</v>
      </c>
      <c r="H331" s="306" t="s">
        <v>24</v>
      </c>
      <c r="I331" s="306" t="s">
        <v>23</v>
      </c>
      <c r="J331" s="306" t="s">
        <v>32</v>
      </c>
      <c r="K331" s="307" t="s">
        <v>33</v>
      </c>
    </row>
    <row r="332" spans="3:11" ht="15.75" x14ac:dyDescent="0.25">
      <c r="C332" s="300" t="s">
        <v>1270</v>
      </c>
      <c r="D332" s="302" t="s">
        <v>23</v>
      </c>
      <c r="E332" s="303" t="s">
        <v>814</v>
      </c>
      <c r="F332" s="303" t="s">
        <v>20</v>
      </c>
      <c r="G332" s="303" t="s">
        <v>25</v>
      </c>
      <c r="H332" s="306" t="s">
        <v>24</v>
      </c>
      <c r="I332" s="306" t="s">
        <v>270</v>
      </c>
      <c r="J332" s="306" t="s">
        <v>34</v>
      </c>
      <c r="K332" s="307" t="s">
        <v>33</v>
      </c>
    </row>
    <row r="333" spans="3:11" ht="15.75" x14ac:dyDescent="0.25">
      <c r="C333" s="300" t="s">
        <v>1269</v>
      </c>
      <c r="D333" s="302" t="s">
        <v>32</v>
      </c>
      <c r="E333" s="303" t="s">
        <v>270</v>
      </c>
      <c r="F333" s="303" t="s">
        <v>20</v>
      </c>
      <c r="G333" s="303" t="s">
        <v>25</v>
      </c>
      <c r="H333" s="306" t="s">
        <v>24</v>
      </c>
      <c r="I333" s="306" t="s">
        <v>23</v>
      </c>
      <c r="J333" s="306" t="s">
        <v>34</v>
      </c>
      <c r="K333" s="307" t="s">
        <v>33</v>
      </c>
    </row>
    <row r="334" spans="3:11" ht="15.75" x14ac:dyDescent="0.25">
      <c r="C334" s="300" t="s">
        <v>1268</v>
      </c>
      <c r="D334" s="302" t="s">
        <v>23</v>
      </c>
      <c r="E334" s="303" t="s">
        <v>814</v>
      </c>
      <c r="F334" s="303" t="s">
        <v>20</v>
      </c>
      <c r="G334" s="303" t="s">
        <v>25</v>
      </c>
      <c r="H334" s="306" t="s">
        <v>24</v>
      </c>
      <c r="I334" s="306" t="s">
        <v>270</v>
      </c>
      <c r="J334" s="306" t="s">
        <v>34</v>
      </c>
      <c r="K334" s="307" t="s">
        <v>32</v>
      </c>
    </row>
    <row r="335" spans="3:11" ht="15.75" x14ac:dyDescent="0.25">
      <c r="C335" s="300" t="s">
        <v>1267</v>
      </c>
      <c r="D335" s="302" t="s">
        <v>23</v>
      </c>
      <c r="E335" s="303" t="s">
        <v>814</v>
      </c>
      <c r="F335" s="303" t="s">
        <v>20</v>
      </c>
      <c r="G335" s="303" t="s">
        <v>25</v>
      </c>
      <c r="H335" s="306" t="s">
        <v>24</v>
      </c>
      <c r="I335" s="306" t="s">
        <v>270</v>
      </c>
      <c r="J335" s="306" t="s">
        <v>32</v>
      </c>
      <c r="K335" s="307" t="s">
        <v>33</v>
      </c>
    </row>
    <row r="336" spans="3:11" ht="15.75" x14ac:dyDescent="0.25">
      <c r="C336" s="300" t="s">
        <v>1266</v>
      </c>
      <c r="D336" s="302" t="s">
        <v>31</v>
      </c>
      <c r="E336" s="303" t="s">
        <v>270</v>
      </c>
      <c r="F336" s="303" t="s">
        <v>20</v>
      </c>
      <c r="G336" s="303" t="s">
        <v>25</v>
      </c>
      <c r="H336" s="306" t="s">
        <v>24</v>
      </c>
      <c r="I336" s="306" t="s">
        <v>23</v>
      </c>
      <c r="J336" s="306" t="s">
        <v>34</v>
      </c>
      <c r="K336" s="307" t="s">
        <v>33</v>
      </c>
    </row>
    <row r="337" spans="3:11" ht="15.75" x14ac:dyDescent="0.25">
      <c r="C337" s="300" t="s">
        <v>1265</v>
      </c>
      <c r="D337" s="302" t="s">
        <v>31</v>
      </c>
      <c r="E337" s="303" t="s">
        <v>270</v>
      </c>
      <c r="F337" s="303" t="s">
        <v>20</v>
      </c>
      <c r="G337" s="303" t="s">
        <v>25</v>
      </c>
      <c r="H337" s="306" t="s">
        <v>24</v>
      </c>
      <c r="I337" s="306" t="s">
        <v>23</v>
      </c>
      <c r="J337" s="306" t="s">
        <v>34</v>
      </c>
      <c r="K337" s="307" t="s">
        <v>814</v>
      </c>
    </row>
    <row r="338" spans="3:11" ht="15.75" x14ac:dyDescent="0.25">
      <c r="C338" s="300" t="s">
        <v>1264</v>
      </c>
      <c r="D338" s="302" t="s">
        <v>31</v>
      </c>
      <c r="E338" s="303" t="s">
        <v>270</v>
      </c>
      <c r="F338" s="303" t="s">
        <v>20</v>
      </c>
      <c r="G338" s="303" t="s">
        <v>25</v>
      </c>
      <c r="H338" s="306" t="s">
        <v>24</v>
      </c>
      <c r="I338" s="306" t="s">
        <v>23</v>
      </c>
      <c r="J338" s="306" t="s">
        <v>814</v>
      </c>
      <c r="K338" s="307" t="s">
        <v>33</v>
      </c>
    </row>
    <row r="339" spans="3:11" ht="15.75" x14ac:dyDescent="0.25">
      <c r="C339" s="300" t="s">
        <v>1263</v>
      </c>
      <c r="D339" s="302" t="s">
        <v>31</v>
      </c>
      <c r="E339" s="303" t="s">
        <v>270</v>
      </c>
      <c r="F339" s="303" t="s">
        <v>20</v>
      </c>
      <c r="G339" s="303" t="s">
        <v>25</v>
      </c>
      <c r="H339" s="306" t="s">
        <v>24</v>
      </c>
      <c r="I339" s="306" t="s">
        <v>23</v>
      </c>
      <c r="J339" s="306" t="s">
        <v>34</v>
      </c>
      <c r="K339" s="307" t="s">
        <v>32</v>
      </c>
    </row>
    <row r="340" spans="3:11" ht="15.75" x14ac:dyDescent="0.25">
      <c r="C340" s="300" t="s">
        <v>1262</v>
      </c>
      <c r="D340" s="302" t="s">
        <v>31</v>
      </c>
      <c r="E340" s="303" t="s">
        <v>270</v>
      </c>
      <c r="F340" s="303" t="s">
        <v>20</v>
      </c>
      <c r="G340" s="303" t="s">
        <v>25</v>
      </c>
      <c r="H340" s="306" t="s">
        <v>24</v>
      </c>
      <c r="I340" s="306" t="s">
        <v>23</v>
      </c>
      <c r="J340" s="306" t="s">
        <v>32</v>
      </c>
      <c r="K340" s="307" t="s">
        <v>33</v>
      </c>
    </row>
    <row r="341" spans="3:11" ht="15.75" x14ac:dyDescent="0.25">
      <c r="C341" s="300" t="s">
        <v>1261</v>
      </c>
      <c r="D341" s="302" t="s">
        <v>31</v>
      </c>
      <c r="E341" s="303" t="s">
        <v>270</v>
      </c>
      <c r="F341" s="303" t="s">
        <v>20</v>
      </c>
      <c r="G341" s="303" t="s">
        <v>25</v>
      </c>
      <c r="H341" s="306" t="s">
        <v>24</v>
      </c>
      <c r="I341" s="306" t="s">
        <v>23</v>
      </c>
      <c r="J341" s="306" t="s">
        <v>32</v>
      </c>
      <c r="K341" s="307" t="s">
        <v>814</v>
      </c>
    </row>
    <row r="342" spans="3:11" ht="15.75" x14ac:dyDescent="0.25">
      <c r="C342" s="300" t="s">
        <v>1260</v>
      </c>
      <c r="D342" s="302" t="s">
        <v>22</v>
      </c>
      <c r="E342" s="303" t="s">
        <v>814</v>
      </c>
      <c r="F342" s="303" t="s">
        <v>20</v>
      </c>
      <c r="G342" s="303" t="s">
        <v>24</v>
      </c>
      <c r="H342" s="306" t="s">
        <v>32</v>
      </c>
      <c r="I342" s="306" t="s">
        <v>25</v>
      </c>
      <c r="J342" s="306" t="s">
        <v>34</v>
      </c>
      <c r="K342" s="307" t="s">
        <v>33</v>
      </c>
    </row>
    <row r="343" spans="3:11" ht="15.75" x14ac:dyDescent="0.25">
      <c r="C343" s="300" t="s">
        <v>1259</v>
      </c>
      <c r="D343" s="302" t="s">
        <v>22</v>
      </c>
      <c r="E343" s="303" t="s">
        <v>814</v>
      </c>
      <c r="F343" s="303" t="s">
        <v>20</v>
      </c>
      <c r="G343" s="303" t="s">
        <v>25</v>
      </c>
      <c r="H343" s="306" t="s">
        <v>24</v>
      </c>
      <c r="I343" s="306" t="s">
        <v>31</v>
      </c>
      <c r="J343" s="306" t="s">
        <v>34</v>
      </c>
      <c r="K343" s="307" t="s">
        <v>33</v>
      </c>
    </row>
    <row r="344" spans="3:11" ht="15.75" x14ac:dyDescent="0.25">
      <c r="C344" s="300" t="s">
        <v>1258</v>
      </c>
      <c r="D344" s="302" t="s">
        <v>22</v>
      </c>
      <c r="E344" s="303" t="s">
        <v>32</v>
      </c>
      <c r="F344" s="303" t="s">
        <v>20</v>
      </c>
      <c r="G344" s="303" t="s">
        <v>25</v>
      </c>
      <c r="H344" s="306" t="s">
        <v>24</v>
      </c>
      <c r="I344" s="306" t="s">
        <v>31</v>
      </c>
      <c r="J344" s="306" t="s">
        <v>34</v>
      </c>
      <c r="K344" s="307" t="s">
        <v>33</v>
      </c>
    </row>
    <row r="345" spans="3:11" ht="15.75" x14ac:dyDescent="0.25">
      <c r="C345" s="300" t="s">
        <v>1257</v>
      </c>
      <c r="D345" s="302" t="s">
        <v>22</v>
      </c>
      <c r="E345" s="303" t="s">
        <v>814</v>
      </c>
      <c r="F345" s="303" t="s">
        <v>20</v>
      </c>
      <c r="G345" s="303" t="s">
        <v>25</v>
      </c>
      <c r="H345" s="306" t="s">
        <v>24</v>
      </c>
      <c r="I345" s="306" t="s">
        <v>31</v>
      </c>
      <c r="J345" s="306" t="s">
        <v>34</v>
      </c>
      <c r="K345" s="307" t="s">
        <v>32</v>
      </c>
    </row>
    <row r="346" spans="3:11" ht="15.75" x14ac:dyDescent="0.25">
      <c r="C346" s="300" t="s">
        <v>1256</v>
      </c>
      <c r="D346" s="302" t="s">
        <v>22</v>
      </c>
      <c r="E346" s="303" t="s">
        <v>814</v>
      </c>
      <c r="F346" s="303" t="s">
        <v>20</v>
      </c>
      <c r="G346" s="303" t="s">
        <v>25</v>
      </c>
      <c r="H346" s="306" t="s">
        <v>24</v>
      </c>
      <c r="I346" s="306" t="s">
        <v>31</v>
      </c>
      <c r="J346" s="306" t="s">
        <v>32</v>
      </c>
      <c r="K346" s="307" t="s">
        <v>33</v>
      </c>
    </row>
    <row r="347" spans="3:11" ht="15.75" x14ac:dyDescent="0.25">
      <c r="C347" s="300" t="s">
        <v>1255</v>
      </c>
      <c r="D347" s="302" t="s">
        <v>22</v>
      </c>
      <c r="E347" s="303" t="s">
        <v>814</v>
      </c>
      <c r="F347" s="303" t="s">
        <v>20</v>
      </c>
      <c r="G347" s="303" t="s">
        <v>25</v>
      </c>
      <c r="H347" s="306" t="s">
        <v>24</v>
      </c>
      <c r="I347" s="306" t="s">
        <v>270</v>
      </c>
      <c r="J347" s="306" t="s">
        <v>34</v>
      </c>
      <c r="K347" s="307" t="s">
        <v>33</v>
      </c>
    </row>
    <row r="348" spans="3:11" ht="15.75" x14ac:dyDescent="0.25">
      <c r="C348" s="300" t="s">
        <v>1254</v>
      </c>
      <c r="D348" s="302" t="s">
        <v>22</v>
      </c>
      <c r="E348" s="303" t="s">
        <v>270</v>
      </c>
      <c r="F348" s="303" t="s">
        <v>20</v>
      </c>
      <c r="G348" s="303" t="s">
        <v>24</v>
      </c>
      <c r="H348" s="306" t="s">
        <v>32</v>
      </c>
      <c r="I348" s="306" t="s">
        <v>25</v>
      </c>
      <c r="J348" s="306" t="s">
        <v>34</v>
      </c>
      <c r="K348" s="307" t="s">
        <v>33</v>
      </c>
    </row>
    <row r="349" spans="3:11" ht="15.75" x14ac:dyDescent="0.25">
      <c r="C349" s="300" t="s">
        <v>1253</v>
      </c>
      <c r="D349" s="302" t="s">
        <v>22</v>
      </c>
      <c r="E349" s="303" t="s">
        <v>814</v>
      </c>
      <c r="F349" s="303" t="s">
        <v>20</v>
      </c>
      <c r="G349" s="303" t="s">
        <v>25</v>
      </c>
      <c r="H349" s="306" t="s">
        <v>24</v>
      </c>
      <c r="I349" s="306" t="s">
        <v>270</v>
      </c>
      <c r="J349" s="306" t="s">
        <v>34</v>
      </c>
      <c r="K349" s="307" t="s">
        <v>32</v>
      </c>
    </row>
    <row r="350" spans="3:11" ht="15.75" x14ac:dyDescent="0.25">
      <c r="C350" s="300" t="s">
        <v>1252</v>
      </c>
      <c r="D350" s="302" t="s">
        <v>22</v>
      </c>
      <c r="E350" s="303" t="s">
        <v>814</v>
      </c>
      <c r="F350" s="303" t="s">
        <v>20</v>
      </c>
      <c r="G350" s="303" t="s">
        <v>25</v>
      </c>
      <c r="H350" s="306" t="s">
        <v>24</v>
      </c>
      <c r="I350" s="306" t="s">
        <v>270</v>
      </c>
      <c r="J350" s="306" t="s">
        <v>32</v>
      </c>
      <c r="K350" s="307" t="s">
        <v>33</v>
      </c>
    </row>
    <row r="351" spans="3:11" ht="15.75" x14ac:dyDescent="0.25">
      <c r="C351" s="300" t="s">
        <v>1251</v>
      </c>
      <c r="D351" s="302" t="s">
        <v>22</v>
      </c>
      <c r="E351" s="303" t="s">
        <v>270</v>
      </c>
      <c r="F351" s="303" t="s">
        <v>20</v>
      </c>
      <c r="G351" s="303" t="s">
        <v>25</v>
      </c>
      <c r="H351" s="306" t="s">
        <v>24</v>
      </c>
      <c r="I351" s="306" t="s">
        <v>31</v>
      </c>
      <c r="J351" s="306" t="s">
        <v>34</v>
      </c>
      <c r="K351" s="307" t="s">
        <v>33</v>
      </c>
    </row>
    <row r="352" spans="3:11" ht="15.75" x14ac:dyDescent="0.25">
      <c r="C352" s="300" t="s">
        <v>1250</v>
      </c>
      <c r="D352" s="302" t="s">
        <v>31</v>
      </c>
      <c r="E352" s="303" t="s">
        <v>814</v>
      </c>
      <c r="F352" s="303" t="s">
        <v>20</v>
      </c>
      <c r="G352" s="303" t="s">
        <v>25</v>
      </c>
      <c r="H352" s="306" t="s">
        <v>24</v>
      </c>
      <c r="I352" s="306" t="s">
        <v>270</v>
      </c>
      <c r="J352" s="306" t="s">
        <v>34</v>
      </c>
      <c r="K352" s="307" t="s">
        <v>22</v>
      </c>
    </row>
    <row r="353" spans="3:11" ht="15.75" x14ac:dyDescent="0.25">
      <c r="C353" s="300" t="s">
        <v>1249</v>
      </c>
      <c r="D353" s="302" t="s">
        <v>31</v>
      </c>
      <c r="E353" s="303" t="s">
        <v>814</v>
      </c>
      <c r="F353" s="303" t="s">
        <v>20</v>
      </c>
      <c r="G353" s="303" t="s">
        <v>25</v>
      </c>
      <c r="H353" s="306" t="s">
        <v>24</v>
      </c>
      <c r="I353" s="306" t="s">
        <v>270</v>
      </c>
      <c r="J353" s="306" t="s">
        <v>22</v>
      </c>
      <c r="K353" s="307" t="s">
        <v>33</v>
      </c>
    </row>
    <row r="354" spans="3:11" ht="15.75" x14ac:dyDescent="0.25">
      <c r="C354" s="300" t="s">
        <v>1248</v>
      </c>
      <c r="D354" s="302" t="s">
        <v>22</v>
      </c>
      <c r="E354" s="303" t="s">
        <v>270</v>
      </c>
      <c r="F354" s="303" t="s">
        <v>20</v>
      </c>
      <c r="G354" s="303" t="s">
        <v>25</v>
      </c>
      <c r="H354" s="306" t="s">
        <v>24</v>
      </c>
      <c r="I354" s="306" t="s">
        <v>31</v>
      </c>
      <c r="J354" s="306" t="s">
        <v>34</v>
      </c>
      <c r="K354" s="307" t="s">
        <v>32</v>
      </c>
    </row>
    <row r="355" spans="3:11" ht="15.75" x14ac:dyDescent="0.25">
      <c r="C355" s="300" t="s">
        <v>1247</v>
      </c>
      <c r="D355" s="302" t="s">
        <v>22</v>
      </c>
      <c r="E355" s="303" t="s">
        <v>270</v>
      </c>
      <c r="F355" s="303" t="s">
        <v>20</v>
      </c>
      <c r="G355" s="303" t="s">
        <v>25</v>
      </c>
      <c r="H355" s="306" t="s">
        <v>24</v>
      </c>
      <c r="I355" s="306" t="s">
        <v>31</v>
      </c>
      <c r="J355" s="306" t="s">
        <v>32</v>
      </c>
      <c r="K355" s="307" t="s">
        <v>33</v>
      </c>
    </row>
    <row r="356" spans="3:11" ht="15.75" x14ac:dyDescent="0.25">
      <c r="C356" s="300" t="s">
        <v>1246</v>
      </c>
      <c r="D356" s="302" t="s">
        <v>31</v>
      </c>
      <c r="E356" s="303" t="s">
        <v>814</v>
      </c>
      <c r="F356" s="303" t="s">
        <v>20</v>
      </c>
      <c r="G356" s="303" t="s">
        <v>25</v>
      </c>
      <c r="H356" s="306" t="s">
        <v>24</v>
      </c>
      <c r="I356" s="306" t="s">
        <v>270</v>
      </c>
      <c r="J356" s="306" t="s">
        <v>22</v>
      </c>
      <c r="K356" s="307" t="s">
        <v>32</v>
      </c>
    </row>
    <row r="357" spans="3:11" ht="15.75" x14ac:dyDescent="0.25">
      <c r="C357" s="300" t="s">
        <v>1245</v>
      </c>
      <c r="D357" s="302" t="s">
        <v>22</v>
      </c>
      <c r="E357" s="303" t="s">
        <v>814</v>
      </c>
      <c r="F357" s="303" t="s">
        <v>20</v>
      </c>
      <c r="G357" s="303" t="s">
        <v>25</v>
      </c>
      <c r="H357" s="306" t="s">
        <v>24</v>
      </c>
      <c r="I357" s="306" t="s">
        <v>23</v>
      </c>
      <c r="J357" s="306" t="s">
        <v>34</v>
      </c>
      <c r="K357" s="307" t="s">
        <v>33</v>
      </c>
    </row>
    <row r="358" spans="3:11" ht="15.75" x14ac:dyDescent="0.25">
      <c r="C358" s="300" t="s">
        <v>1244</v>
      </c>
      <c r="D358" s="302" t="s">
        <v>22</v>
      </c>
      <c r="E358" s="303" t="s">
        <v>32</v>
      </c>
      <c r="F358" s="303" t="s">
        <v>20</v>
      </c>
      <c r="G358" s="303" t="s">
        <v>25</v>
      </c>
      <c r="H358" s="306" t="s">
        <v>24</v>
      </c>
      <c r="I358" s="306" t="s">
        <v>23</v>
      </c>
      <c r="J358" s="306" t="s">
        <v>34</v>
      </c>
      <c r="K358" s="307" t="s">
        <v>33</v>
      </c>
    </row>
    <row r="359" spans="3:11" ht="15.75" x14ac:dyDescent="0.25">
      <c r="C359" s="300" t="s">
        <v>1243</v>
      </c>
      <c r="D359" s="302" t="s">
        <v>22</v>
      </c>
      <c r="E359" s="303" t="s">
        <v>814</v>
      </c>
      <c r="F359" s="303" t="s">
        <v>20</v>
      </c>
      <c r="G359" s="303" t="s">
        <v>25</v>
      </c>
      <c r="H359" s="306" t="s">
        <v>24</v>
      </c>
      <c r="I359" s="306" t="s">
        <v>23</v>
      </c>
      <c r="J359" s="306" t="s">
        <v>34</v>
      </c>
      <c r="K359" s="307" t="s">
        <v>32</v>
      </c>
    </row>
    <row r="360" spans="3:11" ht="15.75" x14ac:dyDescent="0.25">
      <c r="C360" s="300" t="s">
        <v>1242</v>
      </c>
      <c r="D360" s="302" t="s">
        <v>22</v>
      </c>
      <c r="E360" s="303" t="s">
        <v>814</v>
      </c>
      <c r="F360" s="303" t="s">
        <v>20</v>
      </c>
      <c r="G360" s="303" t="s">
        <v>25</v>
      </c>
      <c r="H360" s="306" t="s">
        <v>24</v>
      </c>
      <c r="I360" s="306" t="s">
        <v>23</v>
      </c>
      <c r="J360" s="306" t="s">
        <v>32</v>
      </c>
      <c r="K360" s="307" t="s">
        <v>33</v>
      </c>
    </row>
    <row r="361" spans="3:11" ht="15.75" x14ac:dyDescent="0.25">
      <c r="C361" s="300" t="s">
        <v>1241</v>
      </c>
      <c r="D361" s="302" t="s">
        <v>31</v>
      </c>
      <c r="E361" s="303" t="s">
        <v>22</v>
      </c>
      <c r="F361" s="303" t="s">
        <v>20</v>
      </c>
      <c r="G361" s="303" t="s">
        <v>25</v>
      </c>
      <c r="H361" s="306" t="s">
        <v>24</v>
      </c>
      <c r="I361" s="306" t="s">
        <v>23</v>
      </c>
      <c r="J361" s="306" t="s">
        <v>34</v>
      </c>
      <c r="K361" s="307" t="s">
        <v>33</v>
      </c>
    </row>
    <row r="362" spans="3:11" ht="15.75" x14ac:dyDescent="0.25">
      <c r="C362" s="300" t="s">
        <v>1240</v>
      </c>
      <c r="D362" s="302" t="s">
        <v>31</v>
      </c>
      <c r="E362" s="303" t="s">
        <v>814</v>
      </c>
      <c r="F362" s="303" t="s">
        <v>20</v>
      </c>
      <c r="G362" s="303" t="s">
        <v>25</v>
      </c>
      <c r="H362" s="306" t="s">
        <v>24</v>
      </c>
      <c r="I362" s="306" t="s">
        <v>23</v>
      </c>
      <c r="J362" s="306" t="s">
        <v>34</v>
      </c>
      <c r="K362" s="307" t="s">
        <v>22</v>
      </c>
    </row>
    <row r="363" spans="3:11" ht="15.75" x14ac:dyDescent="0.25">
      <c r="C363" s="300" t="s">
        <v>1239</v>
      </c>
      <c r="D363" s="302" t="s">
        <v>31</v>
      </c>
      <c r="E363" s="303" t="s">
        <v>814</v>
      </c>
      <c r="F363" s="303" t="s">
        <v>20</v>
      </c>
      <c r="G363" s="303" t="s">
        <v>25</v>
      </c>
      <c r="H363" s="306" t="s">
        <v>24</v>
      </c>
      <c r="I363" s="306" t="s">
        <v>23</v>
      </c>
      <c r="J363" s="306" t="s">
        <v>22</v>
      </c>
      <c r="K363" s="307" t="s">
        <v>33</v>
      </c>
    </row>
    <row r="364" spans="3:11" ht="15.75" x14ac:dyDescent="0.25">
      <c r="C364" s="300" t="s">
        <v>1238</v>
      </c>
      <c r="D364" s="302" t="s">
        <v>31</v>
      </c>
      <c r="E364" s="303" t="s">
        <v>22</v>
      </c>
      <c r="F364" s="303" t="s">
        <v>20</v>
      </c>
      <c r="G364" s="303" t="s">
        <v>25</v>
      </c>
      <c r="H364" s="306" t="s">
        <v>24</v>
      </c>
      <c r="I364" s="306" t="s">
        <v>23</v>
      </c>
      <c r="J364" s="306" t="s">
        <v>34</v>
      </c>
      <c r="K364" s="307" t="s">
        <v>32</v>
      </c>
    </row>
    <row r="365" spans="3:11" ht="15.75" x14ac:dyDescent="0.25">
      <c r="C365" s="300" t="s">
        <v>1237</v>
      </c>
      <c r="D365" s="302" t="s">
        <v>31</v>
      </c>
      <c r="E365" s="303" t="s">
        <v>22</v>
      </c>
      <c r="F365" s="303" t="s">
        <v>20</v>
      </c>
      <c r="G365" s="303" t="s">
        <v>25</v>
      </c>
      <c r="H365" s="306" t="s">
        <v>24</v>
      </c>
      <c r="I365" s="306" t="s">
        <v>23</v>
      </c>
      <c r="J365" s="306" t="s">
        <v>32</v>
      </c>
      <c r="K365" s="307" t="s">
        <v>33</v>
      </c>
    </row>
    <row r="366" spans="3:11" ht="15.75" x14ac:dyDescent="0.25">
      <c r="C366" s="300" t="s">
        <v>1236</v>
      </c>
      <c r="D366" s="302" t="s">
        <v>31</v>
      </c>
      <c r="E366" s="303" t="s">
        <v>814</v>
      </c>
      <c r="F366" s="303" t="s">
        <v>20</v>
      </c>
      <c r="G366" s="303" t="s">
        <v>25</v>
      </c>
      <c r="H366" s="306" t="s">
        <v>24</v>
      </c>
      <c r="I366" s="306" t="s">
        <v>23</v>
      </c>
      <c r="J366" s="306" t="s">
        <v>22</v>
      </c>
      <c r="K366" s="307" t="s">
        <v>32</v>
      </c>
    </row>
    <row r="367" spans="3:11" ht="15.75" x14ac:dyDescent="0.25">
      <c r="C367" s="300" t="s">
        <v>1235</v>
      </c>
      <c r="D367" s="302" t="s">
        <v>22</v>
      </c>
      <c r="E367" s="303" t="s">
        <v>270</v>
      </c>
      <c r="F367" s="303" t="s">
        <v>20</v>
      </c>
      <c r="G367" s="303" t="s">
        <v>25</v>
      </c>
      <c r="H367" s="306" t="s">
        <v>24</v>
      </c>
      <c r="I367" s="306" t="s">
        <v>23</v>
      </c>
      <c r="J367" s="306" t="s">
        <v>34</v>
      </c>
      <c r="K367" s="307" t="s">
        <v>33</v>
      </c>
    </row>
    <row r="368" spans="3:11" ht="15.75" x14ac:dyDescent="0.25">
      <c r="C368" s="300" t="s">
        <v>1234</v>
      </c>
      <c r="D368" s="302" t="s">
        <v>22</v>
      </c>
      <c r="E368" s="303" t="s">
        <v>270</v>
      </c>
      <c r="F368" s="303" t="s">
        <v>20</v>
      </c>
      <c r="G368" s="303" t="s">
        <v>25</v>
      </c>
      <c r="H368" s="306" t="s">
        <v>24</v>
      </c>
      <c r="I368" s="306" t="s">
        <v>23</v>
      </c>
      <c r="J368" s="306" t="s">
        <v>34</v>
      </c>
      <c r="K368" s="307" t="s">
        <v>814</v>
      </c>
    </row>
    <row r="369" spans="3:11" ht="15.75" x14ac:dyDescent="0.25">
      <c r="C369" s="300" t="s">
        <v>1233</v>
      </c>
      <c r="D369" s="302" t="s">
        <v>22</v>
      </c>
      <c r="E369" s="303" t="s">
        <v>270</v>
      </c>
      <c r="F369" s="303" t="s">
        <v>20</v>
      </c>
      <c r="G369" s="303" t="s">
        <v>25</v>
      </c>
      <c r="H369" s="306" t="s">
        <v>24</v>
      </c>
      <c r="I369" s="306" t="s">
        <v>23</v>
      </c>
      <c r="J369" s="306" t="s">
        <v>814</v>
      </c>
      <c r="K369" s="307" t="s">
        <v>33</v>
      </c>
    </row>
    <row r="370" spans="3:11" ht="15.75" x14ac:dyDescent="0.25">
      <c r="C370" s="300" t="s">
        <v>1232</v>
      </c>
      <c r="D370" s="302" t="s">
        <v>22</v>
      </c>
      <c r="E370" s="303" t="s">
        <v>270</v>
      </c>
      <c r="F370" s="303" t="s">
        <v>20</v>
      </c>
      <c r="G370" s="303" t="s">
        <v>25</v>
      </c>
      <c r="H370" s="306" t="s">
        <v>24</v>
      </c>
      <c r="I370" s="306" t="s">
        <v>23</v>
      </c>
      <c r="J370" s="306" t="s">
        <v>34</v>
      </c>
      <c r="K370" s="307" t="s">
        <v>32</v>
      </c>
    </row>
    <row r="371" spans="3:11" ht="15.75" x14ac:dyDescent="0.25">
      <c r="C371" s="300" t="s">
        <v>1231</v>
      </c>
      <c r="D371" s="302" t="s">
        <v>22</v>
      </c>
      <c r="E371" s="303" t="s">
        <v>270</v>
      </c>
      <c r="F371" s="303" t="s">
        <v>20</v>
      </c>
      <c r="G371" s="303" t="s">
        <v>25</v>
      </c>
      <c r="H371" s="306" t="s">
        <v>24</v>
      </c>
      <c r="I371" s="306" t="s">
        <v>23</v>
      </c>
      <c r="J371" s="306" t="s">
        <v>32</v>
      </c>
      <c r="K371" s="307" t="s">
        <v>33</v>
      </c>
    </row>
    <row r="372" spans="3:11" ht="15.75" x14ac:dyDescent="0.25">
      <c r="C372" s="300" t="s">
        <v>1230</v>
      </c>
      <c r="D372" s="302" t="s">
        <v>22</v>
      </c>
      <c r="E372" s="303" t="s">
        <v>270</v>
      </c>
      <c r="F372" s="303" t="s">
        <v>20</v>
      </c>
      <c r="G372" s="303" t="s">
        <v>25</v>
      </c>
      <c r="H372" s="306" t="s">
        <v>24</v>
      </c>
      <c r="I372" s="306" t="s">
        <v>23</v>
      </c>
      <c r="J372" s="306" t="s">
        <v>32</v>
      </c>
      <c r="K372" s="307" t="s">
        <v>814</v>
      </c>
    </row>
    <row r="373" spans="3:11" ht="15.75" x14ac:dyDescent="0.25">
      <c r="C373" s="300" t="s">
        <v>1229</v>
      </c>
      <c r="D373" s="302" t="s">
        <v>31</v>
      </c>
      <c r="E373" s="303" t="s">
        <v>270</v>
      </c>
      <c r="F373" s="303" t="s">
        <v>20</v>
      </c>
      <c r="G373" s="303" t="s">
        <v>25</v>
      </c>
      <c r="H373" s="306" t="s">
        <v>24</v>
      </c>
      <c r="I373" s="306" t="s">
        <v>23</v>
      </c>
      <c r="J373" s="306" t="s">
        <v>34</v>
      </c>
      <c r="K373" s="307" t="s">
        <v>22</v>
      </c>
    </row>
    <row r="374" spans="3:11" ht="15.75" x14ac:dyDescent="0.25">
      <c r="C374" s="300" t="s">
        <v>1228</v>
      </c>
      <c r="D374" s="302" t="s">
        <v>31</v>
      </c>
      <c r="E374" s="303" t="s">
        <v>270</v>
      </c>
      <c r="F374" s="303" t="s">
        <v>20</v>
      </c>
      <c r="G374" s="303" t="s">
        <v>25</v>
      </c>
      <c r="H374" s="306" t="s">
        <v>24</v>
      </c>
      <c r="I374" s="306" t="s">
        <v>23</v>
      </c>
      <c r="J374" s="306" t="s">
        <v>22</v>
      </c>
      <c r="K374" s="307" t="s">
        <v>33</v>
      </c>
    </row>
    <row r="375" spans="3:11" ht="15.75" x14ac:dyDescent="0.25">
      <c r="C375" s="300" t="s">
        <v>1227</v>
      </c>
      <c r="D375" s="302" t="s">
        <v>31</v>
      </c>
      <c r="E375" s="303" t="s">
        <v>270</v>
      </c>
      <c r="F375" s="303" t="s">
        <v>20</v>
      </c>
      <c r="G375" s="303" t="s">
        <v>25</v>
      </c>
      <c r="H375" s="306" t="s">
        <v>24</v>
      </c>
      <c r="I375" s="306" t="s">
        <v>23</v>
      </c>
      <c r="J375" s="306" t="s">
        <v>22</v>
      </c>
      <c r="K375" s="307" t="s">
        <v>814</v>
      </c>
    </row>
    <row r="376" spans="3:11" ht="15.75" x14ac:dyDescent="0.25">
      <c r="C376" s="300" t="s">
        <v>1226</v>
      </c>
      <c r="D376" s="302" t="s">
        <v>31</v>
      </c>
      <c r="E376" s="303" t="s">
        <v>270</v>
      </c>
      <c r="F376" s="303" t="s">
        <v>20</v>
      </c>
      <c r="G376" s="303" t="s">
        <v>25</v>
      </c>
      <c r="H376" s="306" t="s">
        <v>24</v>
      </c>
      <c r="I376" s="306" t="s">
        <v>23</v>
      </c>
      <c r="J376" s="306" t="s">
        <v>22</v>
      </c>
      <c r="K376" s="307" t="s">
        <v>32</v>
      </c>
    </row>
    <row r="377" spans="3:11" ht="15.75" x14ac:dyDescent="0.25">
      <c r="C377" s="300" t="s">
        <v>1225</v>
      </c>
      <c r="D377" s="302" t="s">
        <v>32</v>
      </c>
      <c r="E377" s="303" t="s">
        <v>814</v>
      </c>
      <c r="F377" s="303" t="s">
        <v>20</v>
      </c>
      <c r="G377" s="303" t="s">
        <v>21</v>
      </c>
      <c r="H377" s="306" t="s">
        <v>24</v>
      </c>
      <c r="I377" s="306" t="s">
        <v>31</v>
      </c>
      <c r="J377" s="306" t="s">
        <v>34</v>
      </c>
      <c r="K377" s="307" t="s">
        <v>33</v>
      </c>
    </row>
    <row r="378" spans="3:11" ht="15.75" x14ac:dyDescent="0.25">
      <c r="C378" s="300" t="s">
        <v>1224</v>
      </c>
      <c r="D378" s="302" t="s">
        <v>32</v>
      </c>
      <c r="E378" s="303" t="s">
        <v>814</v>
      </c>
      <c r="F378" s="303" t="s">
        <v>20</v>
      </c>
      <c r="G378" s="303" t="s">
        <v>21</v>
      </c>
      <c r="H378" s="306" t="s">
        <v>24</v>
      </c>
      <c r="I378" s="306" t="s">
        <v>270</v>
      </c>
      <c r="J378" s="306" t="s">
        <v>34</v>
      </c>
      <c r="K378" s="307" t="s">
        <v>33</v>
      </c>
    </row>
    <row r="379" spans="3:11" ht="15.75" x14ac:dyDescent="0.25">
      <c r="C379" s="300" t="s">
        <v>1223</v>
      </c>
      <c r="D379" s="302" t="s">
        <v>31</v>
      </c>
      <c r="E379" s="303" t="s">
        <v>814</v>
      </c>
      <c r="F379" s="303" t="s">
        <v>20</v>
      </c>
      <c r="G379" s="303" t="s">
        <v>21</v>
      </c>
      <c r="H379" s="306" t="s">
        <v>24</v>
      </c>
      <c r="I379" s="306" t="s">
        <v>270</v>
      </c>
      <c r="J379" s="306" t="s">
        <v>34</v>
      </c>
      <c r="K379" s="307" t="s">
        <v>33</v>
      </c>
    </row>
    <row r="380" spans="3:11" ht="15.75" x14ac:dyDescent="0.25">
      <c r="C380" s="300" t="s">
        <v>1222</v>
      </c>
      <c r="D380" s="302" t="s">
        <v>32</v>
      </c>
      <c r="E380" s="303" t="s">
        <v>270</v>
      </c>
      <c r="F380" s="303" t="s">
        <v>20</v>
      </c>
      <c r="G380" s="303" t="s">
        <v>21</v>
      </c>
      <c r="H380" s="306" t="s">
        <v>24</v>
      </c>
      <c r="I380" s="306" t="s">
        <v>31</v>
      </c>
      <c r="J380" s="306" t="s">
        <v>34</v>
      </c>
      <c r="K380" s="307" t="s">
        <v>33</v>
      </c>
    </row>
    <row r="381" spans="3:11" ht="15.75" x14ac:dyDescent="0.25">
      <c r="C381" s="300" t="s">
        <v>1221</v>
      </c>
      <c r="D381" s="302" t="s">
        <v>31</v>
      </c>
      <c r="E381" s="303" t="s">
        <v>814</v>
      </c>
      <c r="F381" s="303" t="s">
        <v>20</v>
      </c>
      <c r="G381" s="303" t="s">
        <v>21</v>
      </c>
      <c r="H381" s="306" t="s">
        <v>24</v>
      </c>
      <c r="I381" s="306" t="s">
        <v>270</v>
      </c>
      <c r="J381" s="306" t="s">
        <v>34</v>
      </c>
      <c r="K381" s="307" t="s">
        <v>32</v>
      </c>
    </row>
    <row r="382" spans="3:11" ht="15.75" x14ac:dyDescent="0.25">
      <c r="C382" s="300" t="s">
        <v>1220</v>
      </c>
      <c r="D382" s="302" t="s">
        <v>31</v>
      </c>
      <c r="E382" s="303" t="s">
        <v>814</v>
      </c>
      <c r="F382" s="303" t="s">
        <v>20</v>
      </c>
      <c r="G382" s="303" t="s">
        <v>21</v>
      </c>
      <c r="H382" s="306" t="s">
        <v>24</v>
      </c>
      <c r="I382" s="306" t="s">
        <v>270</v>
      </c>
      <c r="J382" s="306" t="s">
        <v>32</v>
      </c>
      <c r="K382" s="307" t="s">
        <v>33</v>
      </c>
    </row>
    <row r="383" spans="3:11" ht="15.75" x14ac:dyDescent="0.25">
      <c r="C383" s="300" t="s">
        <v>1219</v>
      </c>
      <c r="D383" s="302" t="s">
        <v>32</v>
      </c>
      <c r="E383" s="303" t="s">
        <v>814</v>
      </c>
      <c r="F383" s="303" t="s">
        <v>20</v>
      </c>
      <c r="G383" s="303" t="s">
        <v>21</v>
      </c>
      <c r="H383" s="306" t="s">
        <v>24</v>
      </c>
      <c r="I383" s="306" t="s">
        <v>23</v>
      </c>
      <c r="J383" s="306" t="s">
        <v>34</v>
      </c>
      <c r="K383" s="307" t="s">
        <v>33</v>
      </c>
    </row>
    <row r="384" spans="3:11" ht="15.75" x14ac:dyDescent="0.25">
      <c r="C384" s="300" t="s">
        <v>1218</v>
      </c>
      <c r="D384" s="302" t="s">
        <v>31</v>
      </c>
      <c r="E384" s="303" t="s">
        <v>814</v>
      </c>
      <c r="F384" s="303" t="s">
        <v>20</v>
      </c>
      <c r="G384" s="303" t="s">
        <v>21</v>
      </c>
      <c r="H384" s="306" t="s">
        <v>24</v>
      </c>
      <c r="I384" s="306" t="s">
        <v>23</v>
      </c>
      <c r="J384" s="306" t="s">
        <v>34</v>
      </c>
      <c r="K384" s="307" t="s">
        <v>33</v>
      </c>
    </row>
    <row r="385" spans="3:11" ht="15.75" x14ac:dyDescent="0.25">
      <c r="C385" s="300" t="s">
        <v>1217</v>
      </c>
      <c r="D385" s="302" t="s">
        <v>31</v>
      </c>
      <c r="E385" s="303" t="s">
        <v>32</v>
      </c>
      <c r="F385" s="303" t="s">
        <v>20</v>
      </c>
      <c r="G385" s="303" t="s">
        <v>21</v>
      </c>
      <c r="H385" s="306" t="s">
        <v>24</v>
      </c>
      <c r="I385" s="306" t="s">
        <v>23</v>
      </c>
      <c r="J385" s="306" t="s">
        <v>34</v>
      </c>
      <c r="K385" s="307" t="s">
        <v>33</v>
      </c>
    </row>
    <row r="386" spans="3:11" ht="15.75" x14ac:dyDescent="0.25">
      <c r="C386" s="300" t="s">
        <v>1216</v>
      </c>
      <c r="D386" s="302" t="s">
        <v>31</v>
      </c>
      <c r="E386" s="303" t="s">
        <v>814</v>
      </c>
      <c r="F386" s="303" t="s">
        <v>20</v>
      </c>
      <c r="G386" s="303" t="s">
        <v>21</v>
      </c>
      <c r="H386" s="306" t="s">
        <v>24</v>
      </c>
      <c r="I386" s="306" t="s">
        <v>23</v>
      </c>
      <c r="J386" s="306" t="s">
        <v>34</v>
      </c>
      <c r="K386" s="307" t="s">
        <v>32</v>
      </c>
    </row>
    <row r="387" spans="3:11" ht="15.75" x14ac:dyDescent="0.25">
      <c r="C387" s="300" t="s">
        <v>1215</v>
      </c>
      <c r="D387" s="302" t="s">
        <v>31</v>
      </c>
      <c r="E387" s="303" t="s">
        <v>814</v>
      </c>
      <c r="F387" s="303" t="s">
        <v>20</v>
      </c>
      <c r="G387" s="303" t="s">
        <v>21</v>
      </c>
      <c r="H387" s="306" t="s">
        <v>24</v>
      </c>
      <c r="I387" s="306" t="s">
        <v>23</v>
      </c>
      <c r="J387" s="306" t="s">
        <v>32</v>
      </c>
      <c r="K387" s="307" t="s">
        <v>33</v>
      </c>
    </row>
    <row r="388" spans="3:11" ht="15.75" x14ac:dyDescent="0.25">
      <c r="C388" s="300" t="s">
        <v>1214</v>
      </c>
      <c r="D388" s="302" t="s">
        <v>21</v>
      </c>
      <c r="E388" s="303" t="s">
        <v>814</v>
      </c>
      <c r="F388" s="303" t="s">
        <v>20</v>
      </c>
      <c r="G388" s="303" t="s">
        <v>23</v>
      </c>
      <c r="H388" s="306" t="s">
        <v>24</v>
      </c>
      <c r="I388" s="306" t="s">
        <v>270</v>
      </c>
      <c r="J388" s="306" t="s">
        <v>34</v>
      </c>
      <c r="K388" s="307" t="s">
        <v>33</v>
      </c>
    </row>
    <row r="389" spans="3:11" ht="15.75" x14ac:dyDescent="0.25">
      <c r="C389" s="300" t="s">
        <v>1213</v>
      </c>
      <c r="D389" s="302" t="s">
        <v>32</v>
      </c>
      <c r="E389" s="303" t="s">
        <v>270</v>
      </c>
      <c r="F389" s="303" t="s">
        <v>20</v>
      </c>
      <c r="G389" s="303" t="s">
        <v>21</v>
      </c>
      <c r="H389" s="306" t="s">
        <v>24</v>
      </c>
      <c r="I389" s="306" t="s">
        <v>23</v>
      </c>
      <c r="J389" s="306" t="s">
        <v>34</v>
      </c>
      <c r="K389" s="307" t="s">
        <v>33</v>
      </c>
    </row>
    <row r="390" spans="3:11" ht="15.75" x14ac:dyDescent="0.25">
      <c r="C390" s="300" t="s">
        <v>1212</v>
      </c>
      <c r="D390" s="302" t="s">
        <v>21</v>
      </c>
      <c r="E390" s="303" t="s">
        <v>814</v>
      </c>
      <c r="F390" s="303" t="s">
        <v>20</v>
      </c>
      <c r="G390" s="303" t="s">
        <v>23</v>
      </c>
      <c r="H390" s="306" t="s">
        <v>24</v>
      </c>
      <c r="I390" s="306" t="s">
        <v>270</v>
      </c>
      <c r="J390" s="306" t="s">
        <v>34</v>
      </c>
      <c r="K390" s="307" t="s">
        <v>32</v>
      </c>
    </row>
    <row r="391" spans="3:11" ht="15.75" x14ac:dyDescent="0.25">
      <c r="C391" s="300" t="s">
        <v>1211</v>
      </c>
      <c r="D391" s="302" t="s">
        <v>21</v>
      </c>
      <c r="E391" s="303" t="s">
        <v>814</v>
      </c>
      <c r="F391" s="303" t="s">
        <v>20</v>
      </c>
      <c r="G391" s="303" t="s">
        <v>23</v>
      </c>
      <c r="H391" s="306" t="s">
        <v>24</v>
      </c>
      <c r="I391" s="306" t="s">
        <v>270</v>
      </c>
      <c r="J391" s="306" t="s">
        <v>32</v>
      </c>
      <c r="K391" s="307" t="s">
        <v>33</v>
      </c>
    </row>
    <row r="392" spans="3:11" ht="15.75" x14ac:dyDescent="0.25">
      <c r="C392" s="300" t="s">
        <v>1210</v>
      </c>
      <c r="D392" s="302" t="s">
        <v>31</v>
      </c>
      <c r="E392" s="303" t="s">
        <v>270</v>
      </c>
      <c r="F392" s="303" t="s">
        <v>20</v>
      </c>
      <c r="G392" s="303" t="s">
        <v>21</v>
      </c>
      <c r="H392" s="306" t="s">
        <v>24</v>
      </c>
      <c r="I392" s="306" t="s">
        <v>23</v>
      </c>
      <c r="J392" s="306" t="s">
        <v>34</v>
      </c>
      <c r="K392" s="307" t="s">
        <v>33</v>
      </c>
    </row>
    <row r="393" spans="3:11" ht="15.75" x14ac:dyDescent="0.25">
      <c r="C393" s="300" t="s">
        <v>1209</v>
      </c>
      <c r="D393" s="302" t="s">
        <v>31</v>
      </c>
      <c r="E393" s="303" t="s">
        <v>270</v>
      </c>
      <c r="F393" s="303" t="s">
        <v>20</v>
      </c>
      <c r="G393" s="303" t="s">
        <v>21</v>
      </c>
      <c r="H393" s="306" t="s">
        <v>24</v>
      </c>
      <c r="I393" s="306" t="s">
        <v>23</v>
      </c>
      <c r="J393" s="306" t="s">
        <v>34</v>
      </c>
      <c r="K393" s="307" t="s">
        <v>814</v>
      </c>
    </row>
    <row r="394" spans="3:11" ht="15.75" x14ac:dyDescent="0.25">
      <c r="C394" s="300" t="s">
        <v>1208</v>
      </c>
      <c r="D394" s="302" t="s">
        <v>31</v>
      </c>
      <c r="E394" s="303" t="s">
        <v>270</v>
      </c>
      <c r="F394" s="303" t="s">
        <v>20</v>
      </c>
      <c r="G394" s="303" t="s">
        <v>21</v>
      </c>
      <c r="H394" s="306" t="s">
        <v>24</v>
      </c>
      <c r="I394" s="306" t="s">
        <v>23</v>
      </c>
      <c r="J394" s="306" t="s">
        <v>814</v>
      </c>
      <c r="K394" s="307" t="s">
        <v>33</v>
      </c>
    </row>
    <row r="395" spans="3:11" ht="15.75" x14ac:dyDescent="0.25">
      <c r="C395" s="300" t="s">
        <v>1207</v>
      </c>
      <c r="D395" s="302" t="s">
        <v>31</v>
      </c>
      <c r="E395" s="303" t="s">
        <v>270</v>
      </c>
      <c r="F395" s="303" t="s">
        <v>20</v>
      </c>
      <c r="G395" s="303" t="s">
        <v>21</v>
      </c>
      <c r="H395" s="306" t="s">
        <v>24</v>
      </c>
      <c r="I395" s="306" t="s">
        <v>23</v>
      </c>
      <c r="J395" s="306" t="s">
        <v>34</v>
      </c>
      <c r="K395" s="307" t="s">
        <v>32</v>
      </c>
    </row>
    <row r="396" spans="3:11" ht="15.75" x14ac:dyDescent="0.25">
      <c r="C396" s="300" t="s">
        <v>1206</v>
      </c>
      <c r="D396" s="302" t="s">
        <v>31</v>
      </c>
      <c r="E396" s="303" t="s">
        <v>270</v>
      </c>
      <c r="F396" s="303" t="s">
        <v>20</v>
      </c>
      <c r="G396" s="303" t="s">
        <v>21</v>
      </c>
      <c r="H396" s="306" t="s">
        <v>24</v>
      </c>
      <c r="I396" s="306" t="s">
        <v>23</v>
      </c>
      <c r="J396" s="306" t="s">
        <v>32</v>
      </c>
      <c r="K396" s="307" t="s">
        <v>33</v>
      </c>
    </row>
    <row r="397" spans="3:11" ht="15.75" x14ac:dyDescent="0.25">
      <c r="C397" s="300" t="s">
        <v>1205</v>
      </c>
      <c r="D397" s="302" t="s">
        <v>31</v>
      </c>
      <c r="E397" s="303" t="s">
        <v>270</v>
      </c>
      <c r="F397" s="303" t="s">
        <v>20</v>
      </c>
      <c r="G397" s="303" t="s">
        <v>21</v>
      </c>
      <c r="H397" s="306" t="s">
        <v>24</v>
      </c>
      <c r="I397" s="306" t="s">
        <v>23</v>
      </c>
      <c r="J397" s="306" t="s">
        <v>32</v>
      </c>
      <c r="K397" s="307" t="s">
        <v>814</v>
      </c>
    </row>
    <row r="398" spans="3:11" ht="15.75" x14ac:dyDescent="0.25">
      <c r="C398" s="300" t="s">
        <v>1204</v>
      </c>
      <c r="D398" s="302" t="s">
        <v>22</v>
      </c>
      <c r="E398" s="303" t="s">
        <v>814</v>
      </c>
      <c r="F398" s="303" t="s">
        <v>20</v>
      </c>
      <c r="G398" s="303" t="s">
        <v>24</v>
      </c>
      <c r="H398" s="306" t="s">
        <v>32</v>
      </c>
      <c r="I398" s="306" t="s">
        <v>21</v>
      </c>
      <c r="J398" s="306" t="s">
        <v>34</v>
      </c>
      <c r="K398" s="307" t="s">
        <v>33</v>
      </c>
    </row>
    <row r="399" spans="3:11" ht="15.75" x14ac:dyDescent="0.25">
      <c r="C399" s="300" t="s">
        <v>1203</v>
      </c>
      <c r="D399" s="302" t="s">
        <v>22</v>
      </c>
      <c r="E399" s="303" t="s">
        <v>814</v>
      </c>
      <c r="F399" s="303" t="s">
        <v>20</v>
      </c>
      <c r="G399" s="303" t="s">
        <v>21</v>
      </c>
      <c r="H399" s="306" t="s">
        <v>24</v>
      </c>
      <c r="I399" s="306" t="s">
        <v>31</v>
      </c>
      <c r="J399" s="306" t="s">
        <v>34</v>
      </c>
      <c r="K399" s="307" t="s">
        <v>33</v>
      </c>
    </row>
    <row r="400" spans="3:11" ht="15.75" x14ac:dyDescent="0.25">
      <c r="C400" s="300" t="s">
        <v>1202</v>
      </c>
      <c r="D400" s="302" t="s">
        <v>22</v>
      </c>
      <c r="E400" s="303" t="s">
        <v>32</v>
      </c>
      <c r="F400" s="303" t="s">
        <v>20</v>
      </c>
      <c r="G400" s="303" t="s">
        <v>21</v>
      </c>
      <c r="H400" s="306" t="s">
        <v>24</v>
      </c>
      <c r="I400" s="306" t="s">
        <v>31</v>
      </c>
      <c r="J400" s="306" t="s">
        <v>34</v>
      </c>
      <c r="K400" s="307" t="s">
        <v>33</v>
      </c>
    </row>
    <row r="401" spans="3:11" ht="15.75" x14ac:dyDescent="0.25">
      <c r="C401" s="300" t="s">
        <v>1201</v>
      </c>
      <c r="D401" s="302" t="s">
        <v>22</v>
      </c>
      <c r="E401" s="303" t="s">
        <v>814</v>
      </c>
      <c r="F401" s="303" t="s">
        <v>20</v>
      </c>
      <c r="G401" s="303" t="s">
        <v>21</v>
      </c>
      <c r="H401" s="306" t="s">
        <v>24</v>
      </c>
      <c r="I401" s="306" t="s">
        <v>31</v>
      </c>
      <c r="J401" s="306" t="s">
        <v>34</v>
      </c>
      <c r="K401" s="307" t="s">
        <v>32</v>
      </c>
    </row>
    <row r="402" spans="3:11" ht="15.75" x14ac:dyDescent="0.25">
      <c r="C402" s="300" t="s">
        <v>1200</v>
      </c>
      <c r="D402" s="302" t="s">
        <v>22</v>
      </c>
      <c r="E402" s="303" t="s">
        <v>814</v>
      </c>
      <c r="F402" s="303" t="s">
        <v>20</v>
      </c>
      <c r="G402" s="303" t="s">
        <v>21</v>
      </c>
      <c r="H402" s="306" t="s">
        <v>24</v>
      </c>
      <c r="I402" s="306" t="s">
        <v>31</v>
      </c>
      <c r="J402" s="306" t="s">
        <v>32</v>
      </c>
      <c r="K402" s="307" t="s">
        <v>33</v>
      </c>
    </row>
    <row r="403" spans="3:11" ht="15.75" x14ac:dyDescent="0.25">
      <c r="C403" s="300" t="s">
        <v>1199</v>
      </c>
      <c r="D403" s="302" t="s">
        <v>22</v>
      </c>
      <c r="E403" s="303" t="s">
        <v>814</v>
      </c>
      <c r="F403" s="303" t="s">
        <v>20</v>
      </c>
      <c r="G403" s="303" t="s">
        <v>21</v>
      </c>
      <c r="H403" s="306" t="s">
        <v>24</v>
      </c>
      <c r="I403" s="306" t="s">
        <v>270</v>
      </c>
      <c r="J403" s="306" t="s">
        <v>34</v>
      </c>
      <c r="K403" s="307" t="s">
        <v>33</v>
      </c>
    </row>
    <row r="404" spans="3:11" ht="15.75" x14ac:dyDescent="0.25">
      <c r="C404" s="300" t="s">
        <v>1198</v>
      </c>
      <c r="D404" s="302" t="s">
        <v>22</v>
      </c>
      <c r="E404" s="303" t="s">
        <v>270</v>
      </c>
      <c r="F404" s="303" t="s">
        <v>20</v>
      </c>
      <c r="G404" s="303" t="s">
        <v>24</v>
      </c>
      <c r="H404" s="306" t="s">
        <v>32</v>
      </c>
      <c r="I404" s="306" t="s">
        <v>21</v>
      </c>
      <c r="J404" s="306" t="s">
        <v>34</v>
      </c>
      <c r="K404" s="307" t="s">
        <v>33</v>
      </c>
    </row>
    <row r="405" spans="3:11" ht="15.75" x14ac:dyDescent="0.25">
      <c r="C405" s="300" t="s">
        <v>1197</v>
      </c>
      <c r="D405" s="302" t="s">
        <v>22</v>
      </c>
      <c r="E405" s="303" t="s">
        <v>814</v>
      </c>
      <c r="F405" s="303" t="s">
        <v>20</v>
      </c>
      <c r="G405" s="303" t="s">
        <v>21</v>
      </c>
      <c r="H405" s="306" t="s">
        <v>24</v>
      </c>
      <c r="I405" s="306" t="s">
        <v>270</v>
      </c>
      <c r="J405" s="306" t="s">
        <v>34</v>
      </c>
      <c r="K405" s="307" t="s">
        <v>32</v>
      </c>
    </row>
    <row r="406" spans="3:11" ht="15.75" x14ac:dyDescent="0.25">
      <c r="C406" s="300" t="s">
        <v>1196</v>
      </c>
      <c r="D406" s="302" t="s">
        <v>22</v>
      </c>
      <c r="E406" s="303" t="s">
        <v>814</v>
      </c>
      <c r="F406" s="303" t="s">
        <v>20</v>
      </c>
      <c r="G406" s="303" t="s">
        <v>21</v>
      </c>
      <c r="H406" s="306" t="s">
        <v>24</v>
      </c>
      <c r="I406" s="306" t="s">
        <v>270</v>
      </c>
      <c r="J406" s="306" t="s">
        <v>32</v>
      </c>
      <c r="K406" s="307" t="s">
        <v>33</v>
      </c>
    </row>
    <row r="407" spans="3:11" ht="15.75" x14ac:dyDescent="0.25">
      <c r="C407" s="300" t="s">
        <v>1195</v>
      </c>
      <c r="D407" s="302" t="s">
        <v>22</v>
      </c>
      <c r="E407" s="303" t="s">
        <v>270</v>
      </c>
      <c r="F407" s="303" t="s">
        <v>20</v>
      </c>
      <c r="G407" s="303" t="s">
        <v>21</v>
      </c>
      <c r="H407" s="306" t="s">
        <v>24</v>
      </c>
      <c r="I407" s="306" t="s">
        <v>31</v>
      </c>
      <c r="J407" s="306" t="s">
        <v>34</v>
      </c>
      <c r="K407" s="307" t="s">
        <v>33</v>
      </c>
    </row>
    <row r="408" spans="3:11" ht="15.75" x14ac:dyDescent="0.25">
      <c r="C408" s="300" t="s">
        <v>1194</v>
      </c>
      <c r="D408" s="302" t="s">
        <v>31</v>
      </c>
      <c r="E408" s="303" t="s">
        <v>814</v>
      </c>
      <c r="F408" s="303" t="s">
        <v>20</v>
      </c>
      <c r="G408" s="303" t="s">
        <v>21</v>
      </c>
      <c r="H408" s="306" t="s">
        <v>24</v>
      </c>
      <c r="I408" s="306" t="s">
        <v>270</v>
      </c>
      <c r="J408" s="306" t="s">
        <v>34</v>
      </c>
      <c r="K408" s="307" t="s">
        <v>22</v>
      </c>
    </row>
    <row r="409" spans="3:11" ht="15.75" x14ac:dyDescent="0.25">
      <c r="C409" s="300" t="s">
        <v>1193</v>
      </c>
      <c r="D409" s="302" t="s">
        <v>31</v>
      </c>
      <c r="E409" s="303" t="s">
        <v>814</v>
      </c>
      <c r="F409" s="303" t="s">
        <v>20</v>
      </c>
      <c r="G409" s="303" t="s">
        <v>21</v>
      </c>
      <c r="H409" s="306" t="s">
        <v>24</v>
      </c>
      <c r="I409" s="306" t="s">
        <v>270</v>
      </c>
      <c r="J409" s="306" t="s">
        <v>22</v>
      </c>
      <c r="K409" s="307" t="s">
        <v>33</v>
      </c>
    </row>
    <row r="410" spans="3:11" ht="15.75" x14ac:dyDescent="0.25">
      <c r="C410" s="300" t="s">
        <v>1192</v>
      </c>
      <c r="D410" s="302" t="s">
        <v>22</v>
      </c>
      <c r="E410" s="303" t="s">
        <v>270</v>
      </c>
      <c r="F410" s="303" t="s">
        <v>20</v>
      </c>
      <c r="G410" s="303" t="s">
        <v>21</v>
      </c>
      <c r="H410" s="306" t="s">
        <v>24</v>
      </c>
      <c r="I410" s="306" t="s">
        <v>31</v>
      </c>
      <c r="J410" s="306" t="s">
        <v>34</v>
      </c>
      <c r="K410" s="307" t="s">
        <v>32</v>
      </c>
    </row>
    <row r="411" spans="3:11" ht="15.75" x14ac:dyDescent="0.25">
      <c r="C411" s="300" t="s">
        <v>1191</v>
      </c>
      <c r="D411" s="302" t="s">
        <v>22</v>
      </c>
      <c r="E411" s="303" t="s">
        <v>270</v>
      </c>
      <c r="F411" s="303" t="s">
        <v>20</v>
      </c>
      <c r="G411" s="303" t="s">
        <v>21</v>
      </c>
      <c r="H411" s="306" t="s">
        <v>24</v>
      </c>
      <c r="I411" s="306" t="s">
        <v>31</v>
      </c>
      <c r="J411" s="306" t="s">
        <v>32</v>
      </c>
      <c r="K411" s="307" t="s">
        <v>33</v>
      </c>
    </row>
    <row r="412" spans="3:11" ht="15.75" x14ac:dyDescent="0.25">
      <c r="C412" s="300" t="s">
        <v>1190</v>
      </c>
      <c r="D412" s="302" t="s">
        <v>31</v>
      </c>
      <c r="E412" s="303" t="s">
        <v>814</v>
      </c>
      <c r="F412" s="303" t="s">
        <v>20</v>
      </c>
      <c r="G412" s="303" t="s">
        <v>21</v>
      </c>
      <c r="H412" s="306" t="s">
        <v>24</v>
      </c>
      <c r="I412" s="306" t="s">
        <v>270</v>
      </c>
      <c r="J412" s="306" t="s">
        <v>22</v>
      </c>
      <c r="K412" s="307" t="s">
        <v>32</v>
      </c>
    </row>
    <row r="413" spans="3:11" ht="15.75" x14ac:dyDescent="0.25">
      <c r="C413" s="300" t="s">
        <v>1189</v>
      </c>
      <c r="D413" s="302" t="s">
        <v>22</v>
      </c>
      <c r="E413" s="303" t="s">
        <v>814</v>
      </c>
      <c r="F413" s="303" t="s">
        <v>20</v>
      </c>
      <c r="G413" s="303" t="s">
        <v>21</v>
      </c>
      <c r="H413" s="306" t="s">
        <v>24</v>
      </c>
      <c r="I413" s="306" t="s">
        <v>23</v>
      </c>
      <c r="J413" s="306" t="s">
        <v>34</v>
      </c>
      <c r="K413" s="307" t="s">
        <v>33</v>
      </c>
    </row>
    <row r="414" spans="3:11" ht="15.75" x14ac:dyDescent="0.25">
      <c r="C414" s="300" t="s">
        <v>1188</v>
      </c>
      <c r="D414" s="302" t="s">
        <v>22</v>
      </c>
      <c r="E414" s="303" t="s">
        <v>32</v>
      </c>
      <c r="F414" s="303" t="s">
        <v>20</v>
      </c>
      <c r="G414" s="303" t="s">
        <v>21</v>
      </c>
      <c r="H414" s="306" t="s">
        <v>24</v>
      </c>
      <c r="I414" s="306" t="s">
        <v>23</v>
      </c>
      <c r="J414" s="306" t="s">
        <v>34</v>
      </c>
      <c r="K414" s="307" t="s">
        <v>33</v>
      </c>
    </row>
    <row r="415" spans="3:11" ht="15.75" x14ac:dyDescent="0.25">
      <c r="C415" s="300" t="s">
        <v>1187</v>
      </c>
      <c r="D415" s="302" t="s">
        <v>22</v>
      </c>
      <c r="E415" s="303" t="s">
        <v>814</v>
      </c>
      <c r="F415" s="303" t="s">
        <v>20</v>
      </c>
      <c r="G415" s="303" t="s">
        <v>21</v>
      </c>
      <c r="H415" s="306" t="s">
        <v>24</v>
      </c>
      <c r="I415" s="306" t="s">
        <v>23</v>
      </c>
      <c r="J415" s="306" t="s">
        <v>34</v>
      </c>
      <c r="K415" s="307" t="s">
        <v>32</v>
      </c>
    </row>
    <row r="416" spans="3:11" ht="15.75" x14ac:dyDescent="0.25">
      <c r="C416" s="300" t="s">
        <v>1186</v>
      </c>
      <c r="D416" s="302" t="s">
        <v>22</v>
      </c>
      <c r="E416" s="303" t="s">
        <v>814</v>
      </c>
      <c r="F416" s="303" t="s">
        <v>20</v>
      </c>
      <c r="G416" s="303" t="s">
        <v>21</v>
      </c>
      <c r="H416" s="306" t="s">
        <v>24</v>
      </c>
      <c r="I416" s="306" t="s">
        <v>23</v>
      </c>
      <c r="J416" s="306" t="s">
        <v>32</v>
      </c>
      <c r="K416" s="307" t="s">
        <v>33</v>
      </c>
    </row>
    <row r="417" spans="3:11" ht="15.75" x14ac:dyDescent="0.25">
      <c r="C417" s="300" t="s">
        <v>1185</v>
      </c>
      <c r="D417" s="302" t="s">
        <v>31</v>
      </c>
      <c r="E417" s="303" t="s">
        <v>22</v>
      </c>
      <c r="F417" s="303" t="s">
        <v>20</v>
      </c>
      <c r="G417" s="303" t="s">
        <v>21</v>
      </c>
      <c r="H417" s="306" t="s">
        <v>24</v>
      </c>
      <c r="I417" s="306" t="s">
        <v>23</v>
      </c>
      <c r="J417" s="306" t="s">
        <v>34</v>
      </c>
      <c r="K417" s="307" t="s">
        <v>33</v>
      </c>
    </row>
    <row r="418" spans="3:11" ht="15.75" x14ac:dyDescent="0.25">
      <c r="C418" s="300" t="s">
        <v>1184</v>
      </c>
      <c r="D418" s="302" t="s">
        <v>31</v>
      </c>
      <c r="E418" s="303" t="s">
        <v>814</v>
      </c>
      <c r="F418" s="303" t="s">
        <v>20</v>
      </c>
      <c r="G418" s="303" t="s">
        <v>21</v>
      </c>
      <c r="H418" s="306" t="s">
        <v>24</v>
      </c>
      <c r="I418" s="306" t="s">
        <v>23</v>
      </c>
      <c r="J418" s="306" t="s">
        <v>34</v>
      </c>
      <c r="K418" s="307" t="s">
        <v>22</v>
      </c>
    </row>
    <row r="419" spans="3:11" ht="15.75" x14ac:dyDescent="0.25">
      <c r="C419" s="300" t="s">
        <v>1183</v>
      </c>
      <c r="D419" s="302" t="s">
        <v>31</v>
      </c>
      <c r="E419" s="303" t="s">
        <v>814</v>
      </c>
      <c r="F419" s="303" t="s">
        <v>20</v>
      </c>
      <c r="G419" s="303" t="s">
        <v>21</v>
      </c>
      <c r="H419" s="306" t="s">
        <v>24</v>
      </c>
      <c r="I419" s="306" t="s">
        <v>23</v>
      </c>
      <c r="J419" s="306" t="s">
        <v>22</v>
      </c>
      <c r="K419" s="307" t="s">
        <v>33</v>
      </c>
    </row>
    <row r="420" spans="3:11" ht="15.75" x14ac:dyDescent="0.25">
      <c r="C420" s="300" t="s">
        <v>1182</v>
      </c>
      <c r="D420" s="302" t="s">
        <v>31</v>
      </c>
      <c r="E420" s="303" t="s">
        <v>22</v>
      </c>
      <c r="F420" s="303" t="s">
        <v>20</v>
      </c>
      <c r="G420" s="303" t="s">
        <v>21</v>
      </c>
      <c r="H420" s="306" t="s">
        <v>24</v>
      </c>
      <c r="I420" s="306" t="s">
        <v>23</v>
      </c>
      <c r="J420" s="306" t="s">
        <v>34</v>
      </c>
      <c r="K420" s="307" t="s">
        <v>32</v>
      </c>
    </row>
    <row r="421" spans="3:11" ht="15.75" x14ac:dyDescent="0.25">
      <c r="C421" s="300" t="s">
        <v>1181</v>
      </c>
      <c r="D421" s="302" t="s">
        <v>31</v>
      </c>
      <c r="E421" s="303" t="s">
        <v>22</v>
      </c>
      <c r="F421" s="303" t="s">
        <v>20</v>
      </c>
      <c r="G421" s="303" t="s">
        <v>21</v>
      </c>
      <c r="H421" s="306" t="s">
        <v>24</v>
      </c>
      <c r="I421" s="306" t="s">
        <v>23</v>
      </c>
      <c r="J421" s="306" t="s">
        <v>32</v>
      </c>
      <c r="K421" s="307" t="s">
        <v>33</v>
      </c>
    </row>
    <row r="422" spans="3:11" ht="15.75" x14ac:dyDescent="0.25">
      <c r="C422" s="300" t="s">
        <v>1180</v>
      </c>
      <c r="D422" s="302" t="s">
        <v>31</v>
      </c>
      <c r="E422" s="303" t="s">
        <v>814</v>
      </c>
      <c r="F422" s="303" t="s">
        <v>20</v>
      </c>
      <c r="G422" s="303" t="s">
        <v>21</v>
      </c>
      <c r="H422" s="306" t="s">
        <v>24</v>
      </c>
      <c r="I422" s="306" t="s">
        <v>23</v>
      </c>
      <c r="J422" s="306" t="s">
        <v>22</v>
      </c>
      <c r="K422" s="307" t="s">
        <v>32</v>
      </c>
    </row>
    <row r="423" spans="3:11" ht="15.75" x14ac:dyDescent="0.25">
      <c r="C423" s="300" t="s">
        <v>1179</v>
      </c>
      <c r="D423" s="302" t="s">
        <v>22</v>
      </c>
      <c r="E423" s="303" t="s">
        <v>270</v>
      </c>
      <c r="F423" s="303" t="s">
        <v>20</v>
      </c>
      <c r="G423" s="303" t="s">
        <v>21</v>
      </c>
      <c r="H423" s="306" t="s">
        <v>24</v>
      </c>
      <c r="I423" s="306" t="s">
        <v>23</v>
      </c>
      <c r="J423" s="306" t="s">
        <v>34</v>
      </c>
      <c r="K423" s="307" t="s">
        <v>33</v>
      </c>
    </row>
    <row r="424" spans="3:11" ht="15.75" x14ac:dyDescent="0.25">
      <c r="C424" s="300" t="s">
        <v>1178</v>
      </c>
      <c r="D424" s="302" t="s">
        <v>22</v>
      </c>
      <c r="E424" s="303" t="s">
        <v>270</v>
      </c>
      <c r="F424" s="303" t="s">
        <v>20</v>
      </c>
      <c r="G424" s="303" t="s">
        <v>21</v>
      </c>
      <c r="H424" s="306" t="s">
        <v>24</v>
      </c>
      <c r="I424" s="306" t="s">
        <v>23</v>
      </c>
      <c r="J424" s="306" t="s">
        <v>34</v>
      </c>
      <c r="K424" s="307" t="s">
        <v>814</v>
      </c>
    </row>
    <row r="425" spans="3:11" ht="15.75" x14ac:dyDescent="0.25">
      <c r="C425" s="300" t="s">
        <v>1177</v>
      </c>
      <c r="D425" s="302" t="s">
        <v>22</v>
      </c>
      <c r="E425" s="303" t="s">
        <v>270</v>
      </c>
      <c r="F425" s="303" t="s">
        <v>20</v>
      </c>
      <c r="G425" s="303" t="s">
        <v>21</v>
      </c>
      <c r="H425" s="306" t="s">
        <v>24</v>
      </c>
      <c r="I425" s="306" t="s">
        <v>23</v>
      </c>
      <c r="J425" s="306" t="s">
        <v>814</v>
      </c>
      <c r="K425" s="307" t="s">
        <v>33</v>
      </c>
    </row>
    <row r="426" spans="3:11" ht="15.75" x14ac:dyDescent="0.25">
      <c r="C426" s="300" t="s">
        <v>1176</v>
      </c>
      <c r="D426" s="302" t="s">
        <v>22</v>
      </c>
      <c r="E426" s="303" t="s">
        <v>270</v>
      </c>
      <c r="F426" s="303" t="s">
        <v>20</v>
      </c>
      <c r="G426" s="303" t="s">
        <v>21</v>
      </c>
      <c r="H426" s="306" t="s">
        <v>24</v>
      </c>
      <c r="I426" s="306" t="s">
        <v>23</v>
      </c>
      <c r="J426" s="306" t="s">
        <v>34</v>
      </c>
      <c r="K426" s="307" t="s">
        <v>32</v>
      </c>
    </row>
    <row r="427" spans="3:11" ht="15.75" x14ac:dyDescent="0.25">
      <c r="C427" s="300" t="s">
        <v>1175</v>
      </c>
      <c r="D427" s="302" t="s">
        <v>22</v>
      </c>
      <c r="E427" s="303" t="s">
        <v>270</v>
      </c>
      <c r="F427" s="303" t="s">
        <v>20</v>
      </c>
      <c r="G427" s="303" t="s">
        <v>21</v>
      </c>
      <c r="H427" s="306" t="s">
        <v>24</v>
      </c>
      <c r="I427" s="306" t="s">
        <v>23</v>
      </c>
      <c r="J427" s="306" t="s">
        <v>32</v>
      </c>
      <c r="K427" s="307" t="s">
        <v>33</v>
      </c>
    </row>
    <row r="428" spans="3:11" ht="15.75" x14ac:dyDescent="0.25">
      <c r="C428" s="300" t="s">
        <v>1174</v>
      </c>
      <c r="D428" s="302" t="s">
        <v>22</v>
      </c>
      <c r="E428" s="303" t="s">
        <v>270</v>
      </c>
      <c r="F428" s="303" t="s">
        <v>20</v>
      </c>
      <c r="G428" s="303" t="s">
        <v>21</v>
      </c>
      <c r="H428" s="306" t="s">
        <v>24</v>
      </c>
      <c r="I428" s="306" t="s">
        <v>23</v>
      </c>
      <c r="J428" s="306" t="s">
        <v>32</v>
      </c>
      <c r="K428" s="307" t="s">
        <v>814</v>
      </c>
    </row>
    <row r="429" spans="3:11" ht="15.75" x14ac:dyDescent="0.25">
      <c r="C429" s="300" t="s">
        <v>1173</v>
      </c>
      <c r="D429" s="302" t="s">
        <v>31</v>
      </c>
      <c r="E429" s="303" t="s">
        <v>270</v>
      </c>
      <c r="F429" s="303" t="s">
        <v>20</v>
      </c>
      <c r="G429" s="303" t="s">
        <v>21</v>
      </c>
      <c r="H429" s="306" t="s">
        <v>24</v>
      </c>
      <c r="I429" s="306" t="s">
        <v>23</v>
      </c>
      <c r="J429" s="306" t="s">
        <v>34</v>
      </c>
      <c r="K429" s="307" t="s">
        <v>22</v>
      </c>
    </row>
    <row r="430" spans="3:11" ht="15.75" x14ac:dyDescent="0.25">
      <c r="C430" s="300" t="s">
        <v>1172</v>
      </c>
      <c r="D430" s="302" t="s">
        <v>31</v>
      </c>
      <c r="E430" s="303" t="s">
        <v>270</v>
      </c>
      <c r="F430" s="303" t="s">
        <v>20</v>
      </c>
      <c r="G430" s="303" t="s">
        <v>21</v>
      </c>
      <c r="H430" s="306" t="s">
        <v>24</v>
      </c>
      <c r="I430" s="306" t="s">
        <v>23</v>
      </c>
      <c r="J430" s="306" t="s">
        <v>22</v>
      </c>
      <c r="K430" s="307" t="s">
        <v>33</v>
      </c>
    </row>
    <row r="431" spans="3:11" ht="15.75" x14ac:dyDescent="0.25">
      <c r="C431" s="300" t="s">
        <v>1171</v>
      </c>
      <c r="D431" s="302" t="s">
        <v>31</v>
      </c>
      <c r="E431" s="303" t="s">
        <v>270</v>
      </c>
      <c r="F431" s="303" t="s">
        <v>20</v>
      </c>
      <c r="G431" s="303" t="s">
        <v>21</v>
      </c>
      <c r="H431" s="306" t="s">
        <v>24</v>
      </c>
      <c r="I431" s="306" t="s">
        <v>23</v>
      </c>
      <c r="J431" s="306" t="s">
        <v>22</v>
      </c>
      <c r="K431" s="307" t="s">
        <v>814</v>
      </c>
    </row>
    <row r="432" spans="3:11" ht="15.75" x14ac:dyDescent="0.25">
      <c r="C432" s="300" t="s">
        <v>1170</v>
      </c>
      <c r="D432" s="302" t="s">
        <v>31</v>
      </c>
      <c r="E432" s="303" t="s">
        <v>270</v>
      </c>
      <c r="F432" s="303" t="s">
        <v>20</v>
      </c>
      <c r="G432" s="303" t="s">
        <v>21</v>
      </c>
      <c r="H432" s="306" t="s">
        <v>24</v>
      </c>
      <c r="I432" s="306" t="s">
        <v>23</v>
      </c>
      <c r="J432" s="306" t="s">
        <v>22</v>
      </c>
      <c r="K432" s="307" t="s">
        <v>32</v>
      </c>
    </row>
    <row r="433" spans="3:11" ht="15.75" x14ac:dyDescent="0.25">
      <c r="C433" s="300" t="s">
        <v>1169</v>
      </c>
      <c r="D433" s="302" t="s">
        <v>32</v>
      </c>
      <c r="E433" s="303" t="s">
        <v>814</v>
      </c>
      <c r="F433" s="303" t="s">
        <v>20</v>
      </c>
      <c r="G433" s="303" t="s">
        <v>21</v>
      </c>
      <c r="H433" s="306" t="s">
        <v>24</v>
      </c>
      <c r="I433" s="306" t="s">
        <v>25</v>
      </c>
      <c r="J433" s="306" t="s">
        <v>34</v>
      </c>
      <c r="K433" s="307" t="s">
        <v>33</v>
      </c>
    </row>
    <row r="434" spans="3:11" ht="15.75" x14ac:dyDescent="0.25">
      <c r="C434" s="300" t="s">
        <v>1168</v>
      </c>
      <c r="D434" s="302" t="s">
        <v>31</v>
      </c>
      <c r="E434" s="303" t="s">
        <v>814</v>
      </c>
      <c r="F434" s="303" t="s">
        <v>20</v>
      </c>
      <c r="G434" s="303" t="s">
        <v>21</v>
      </c>
      <c r="H434" s="306" t="s">
        <v>24</v>
      </c>
      <c r="I434" s="306" t="s">
        <v>25</v>
      </c>
      <c r="J434" s="306" t="s">
        <v>34</v>
      </c>
      <c r="K434" s="307" t="s">
        <v>33</v>
      </c>
    </row>
    <row r="435" spans="3:11" ht="15.75" x14ac:dyDescent="0.25">
      <c r="C435" s="300" t="s">
        <v>1167</v>
      </c>
      <c r="D435" s="302" t="s">
        <v>31</v>
      </c>
      <c r="E435" s="303" t="s">
        <v>32</v>
      </c>
      <c r="F435" s="303" t="s">
        <v>20</v>
      </c>
      <c r="G435" s="303" t="s">
        <v>21</v>
      </c>
      <c r="H435" s="306" t="s">
        <v>24</v>
      </c>
      <c r="I435" s="306" t="s">
        <v>25</v>
      </c>
      <c r="J435" s="306" t="s">
        <v>34</v>
      </c>
      <c r="K435" s="307" t="s">
        <v>33</v>
      </c>
    </row>
    <row r="436" spans="3:11" ht="15.75" x14ac:dyDescent="0.25">
      <c r="C436" s="300" t="s">
        <v>1166</v>
      </c>
      <c r="D436" s="302" t="s">
        <v>31</v>
      </c>
      <c r="E436" s="303" t="s">
        <v>814</v>
      </c>
      <c r="F436" s="303" t="s">
        <v>20</v>
      </c>
      <c r="G436" s="303" t="s">
        <v>21</v>
      </c>
      <c r="H436" s="306" t="s">
        <v>24</v>
      </c>
      <c r="I436" s="306" t="s">
        <v>25</v>
      </c>
      <c r="J436" s="306" t="s">
        <v>34</v>
      </c>
      <c r="K436" s="307" t="s">
        <v>32</v>
      </c>
    </row>
    <row r="437" spans="3:11" ht="15.75" x14ac:dyDescent="0.25">
      <c r="C437" s="300" t="s">
        <v>1165</v>
      </c>
      <c r="D437" s="302" t="s">
        <v>31</v>
      </c>
      <c r="E437" s="303" t="s">
        <v>814</v>
      </c>
      <c r="F437" s="303" t="s">
        <v>20</v>
      </c>
      <c r="G437" s="303" t="s">
        <v>21</v>
      </c>
      <c r="H437" s="306" t="s">
        <v>24</v>
      </c>
      <c r="I437" s="306" t="s">
        <v>25</v>
      </c>
      <c r="J437" s="306" t="s">
        <v>32</v>
      </c>
      <c r="K437" s="307" t="s">
        <v>33</v>
      </c>
    </row>
    <row r="438" spans="3:11" ht="15.75" x14ac:dyDescent="0.25">
      <c r="C438" s="300" t="s">
        <v>1164</v>
      </c>
      <c r="D438" s="302" t="s">
        <v>21</v>
      </c>
      <c r="E438" s="303" t="s">
        <v>814</v>
      </c>
      <c r="F438" s="303" t="s">
        <v>20</v>
      </c>
      <c r="G438" s="303" t="s">
        <v>25</v>
      </c>
      <c r="H438" s="306" t="s">
        <v>24</v>
      </c>
      <c r="I438" s="306" t="s">
        <v>270</v>
      </c>
      <c r="J438" s="306" t="s">
        <v>34</v>
      </c>
      <c r="K438" s="307" t="s">
        <v>33</v>
      </c>
    </row>
    <row r="439" spans="3:11" ht="15.75" x14ac:dyDescent="0.25">
      <c r="C439" s="300" t="s">
        <v>1163</v>
      </c>
      <c r="D439" s="302" t="s">
        <v>32</v>
      </c>
      <c r="E439" s="303" t="s">
        <v>270</v>
      </c>
      <c r="F439" s="303" t="s">
        <v>20</v>
      </c>
      <c r="G439" s="303" t="s">
        <v>21</v>
      </c>
      <c r="H439" s="306" t="s">
        <v>24</v>
      </c>
      <c r="I439" s="306" t="s">
        <v>25</v>
      </c>
      <c r="J439" s="306" t="s">
        <v>34</v>
      </c>
      <c r="K439" s="307" t="s">
        <v>33</v>
      </c>
    </row>
    <row r="440" spans="3:11" ht="15.75" x14ac:dyDescent="0.25">
      <c r="C440" s="300" t="s">
        <v>1162</v>
      </c>
      <c r="D440" s="302" t="s">
        <v>21</v>
      </c>
      <c r="E440" s="303" t="s">
        <v>814</v>
      </c>
      <c r="F440" s="303" t="s">
        <v>20</v>
      </c>
      <c r="G440" s="303" t="s">
        <v>25</v>
      </c>
      <c r="H440" s="306" t="s">
        <v>24</v>
      </c>
      <c r="I440" s="306" t="s">
        <v>270</v>
      </c>
      <c r="J440" s="306" t="s">
        <v>34</v>
      </c>
      <c r="K440" s="307" t="s">
        <v>32</v>
      </c>
    </row>
    <row r="441" spans="3:11" ht="15.75" x14ac:dyDescent="0.25">
      <c r="C441" s="300" t="s">
        <v>1161</v>
      </c>
      <c r="D441" s="302" t="s">
        <v>21</v>
      </c>
      <c r="E441" s="303" t="s">
        <v>814</v>
      </c>
      <c r="F441" s="303" t="s">
        <v>20</v>
      </c>
      <c r="G441" s="303" t="s">
        <v>25</v>
      </c>
      <c r="H441" s="306" t="s">
        <v>24</v>
      </c>
      <c r="I441" s="306" t="s">
        <v>270</v>
      </c>
      <c r="J441" s="306" t="s">
        <v>32</v>
      </c>
      <c r="K441" s="307" t="s">
        <v>33</v>
      </c>
    </row>
    <row r="442" spans="3:11" ht="15.75" x14ac:dyDescent="0.25">
      <c r="C442" s="300" t="s">
        <v>1160</v>
      </c>
      <c r="D442" s="302" t="s">
        <v>31</v>
      </c>
      <c r="E442" s="303" t="s">
        <v>270</v>
      </c>
      <c r="F442" s="303" t="s">
        <v>20</v>
      </c>
      <c r="G442" s="303" t="s">
        <v>21</v>
      </c>
      <c r="H442" s="306" t="s">
        <v>24</v>
      </c>
      <c r="I442" s="306" t="s">
        <v>25</v>
      </c>
      <c r="J442" s="306" t="s">
        <v>34</v>
      </c>
      <c r="K442" s="307" t="s">
        <v>33</v>
      </c>
    </row>
    <row r="443" spans="3:11" ht="15.75" x14ac:dyDescent="0.25">
      <c r="C443" s="300" t="s">
        <v>1159</v>
      </c>
      <c r="D443" s="302" t="s">
        <v>31</v>
      </c>
      <c r="E443" s="303" t="s">
        <v>270</v>
      </c>
      <c r="F443" s="303" t="s">
        <v>20</v>
      </c>
      <c r="G443" s="303" t="s">
        <v>21</v>
      </c>
      <c r="H443" s="306" t="s">
        <v>24</v>
      </c>
      <c r="I443" s="306" t="s">
        <v>25</v>
      </c>
      <c r="J443" s="306" t="s">
        <v>34</v>
      </c>
      <c r="K443" s="307" t="s">
        <v>814</v>
      </c>
    </row>
    <row r="444" spans="3:11" ht="15.75" x14ac:dyDescent="0.25">
      <c r="C444" s="300" t="s">
        <v>1158</v>
      </c>
      <c r="D444" s="302" t="s">
        <v>31</v>
      </c>
      <c r="E444" s="303" t="s">
        <v>270</v>
      </c>
      <c r="F444" s="303" t="s">
        <v>20</v>
      </c>
      <c r="G444" s="303" t="s">
        <v>21</v>
      </c>
      <c r="H444" s="306" t="s">
        <v>24</v>
      </c>
      <c r="I444" s="306" t="s">
        <v>25</v>
      </c>
      <c r="J444" s="306" t="s">
        <v>814</v>
      </c>
      <c r="K444" s="307" t="s">
        <v>33</v>
      </c>
    </row>
    <row r="445" spans="3:11" ht="15.75" x14ac:dyDescent="0.25">
      <c r="C445" s="300" t="s">
        <v>1157</v>
      </c>
      <c r="D445" s="302" t="s">
        <v>31</v>
      </c>
      <c r="E445" s="303" t="s">
        <v>270</v>
      </c>
      <c r="F445" s="303" t="s">
        <v>20</v>
      </c>
      <c r="G445" s="303" t="s">
        <v>21</v>
      </c>
      <c r="H445" s="306" t="s">
        <v>24</v>
      </c>
      <c r="I445" s="306" t="s">
        <v>25</v>
      </c>
      <c r="J445" s="306" t="s">
        <v>34</v>
      </c>
      <c r="K445" s="307" t="s">
        <v>32</v>
      </c>
    </row>
    <row r="446" spans="3:11" ht="15.75" x14ac:dyDescent="0.25">
      <c r="C446" s="300" t="s">
        <v>1156</v>
      </c>
      <c r="D446" s="302" t="s">
        <v>31</v>
      </c>
      <c r="E446" s="303" t="s">
        <v>270</v>
      </c>
      <c r="F446" s="303" t="s">
        <v>20</v>
      </c>
      <c r="G446" s="303" t="s">
        <v>21</v>
      </c>
      <c r="H446" s="306" t="s">
        <v>24</v>
      </c>
      <c r="I446" s="306" t="s">
        <v>25</v>
      </c>
      <c r="J446" s="306" t="s">
        <v>32</v>
      </c>
      <c r="K446" s="307" t="s">
        <v>33</v>
      </c>
    </row>
    <row r="447" spans="3:11" ht="15.75" x14ac:dyDescent="0.25">
      <c r="C447" s="300" t="s">
        <v>1155</v>
      </c>
      <c r="D447" s="302" t="s">
        <v>31</v>
      </c>
      <c r="E447" s="303" t="s">
        <v>270</v>
      </c>
      <c r="F447" s="303" t="s">
        <v>20</v>
      </c>
      <c r="G447" s="303" t="s">
        <v>21</v>
      </c>
      <c r="H447" s="306" t="s">
        <v>24</v>
      </c>
      <c r="I447" s="306" t="s">
        <v>25</v>
      </c>
      <c r="J447" s="306" t="s">
        <v>32</v>
      </c>
      <c r="K447" s="307" t="s">
        <v>814</v>
      </c>
    </row>
    <row r="448" spans="3:11" ht="15.75" x14ac:dyDescent="0.25">
      <c r="C448" s="300" t="s">
        <v>1154</v>
      </c>
      <c r="D448" s="302" t="s">
        <v>21</v>
      </c>
      <c r="E448" s="303" t="s">
        <v>814</v>
      </c>
      <c r="F448" s="303" t="s">
        <v>20</v>
      </c>
      <c r="G448" s="303" t="s">
        <v>25</v>
      </c>
      <c r="H448" s="306" t="s">
        <v>24</v>
      </c>
      <c r="I448" s="306" t="s">
        <v>23</v>
      </c>
      <c r="J448" s="306" t="s">
        <v>34</v>
      </c>
      <c r="K448" s="307" t="s">
        <v>33</v>
      </c>
    </row>
    <row r="449" spans="3:11" ht="15.75" x14ac:dyDescent="0.25">
      <c r="C449" s="300" t="s">
        <v>1153</v>
      </c>
      <c r="D449" s="302" t="s">
        <v>21</v>
      </c>
      <c r="E449" s="303" t="s">
        <v>32</v>
      </c>
      <c r="F449" s="303" t="s">
        <v>20</v>
      </c>
      <c r="G449" s="303" t="s">
        <v>25</v>
      </c>
      <c r="H449" s="306" t="s">
        <v>24</v>
      </c>
      <c r="I449" s="306" t="s">
        <v>23</v>
      </c>
      <c r="J449" s="306" t="s">
        <v>34</v>
      </c>
      <c r="K449" s="307" t="s">
        <v>33</v>
      </c>
    </row>
    <row r="450" spans="3:11" ht="15.75" x14ac:dyDescent="0.25">
      <c r="C450" s="300" t="s">
        <v>1152</v>
      </c>
      <c r="D450" s="302" t="s">
        <v>21</v>
      </c>
      <c r="E450" s="303" t="s">
        <v>814</v>
      </c>
      <c r="F450" s="303" t="s">
        <v>20</v>
      </c>
      <c r="G450" s="303" t="s">
        <v>25</v>
      </c>
      <c r="H450" s="306" t="s">
        <v>24</v>
      </c>
      <c r="I450" s="306" t="s">
        <v>23</v>
      </c>
      <c r="J450" s="306" t="s">
        <v>34</v>
      </c>
      <c r="K450" s="307" t="s">
        <v>32</v>
      </c>
    </row>
    <row r="451" spans="3:11" ht="15.75" x14ac:dyDescent="0.25">
      <c r="C451" s="300" t="s">
        <v>1151</v>
      </c>
      <c r="D451" s="302" t="s">
        <v>21</v>
      </c>
      <c r="E451" s="303" t="s">
        <v>814</v>
      </c>
      <c r="F451" s="303" t="s">
        <v>20</v>
      </c>
      <c r="G451" s="303" t="s">
        <v>25</v>
      </c>
      <c r="H451" s="306" t="s">
        <v>24</v>
      </c>
      <c r="I451" s="306" t="s">
        <v>23</v>
      </c>
      <c r="J451" s="306" t="s">
        <v>32</v>
      </c>
      <c r="K451" s="307" t="s">
        <v>33</v>
      </c>
    </row>
    <row r="452" spans="3:11" ht="15.75" x14ac:dyDescent="0.25">
      <c r="C452" s="300" t="s">
        <v>1150</v>
      </c>
      <c r="D452" s="302" t="s">
        <v>31</v>
      </c>
      <c r="E452" s="303" t="s">
        <v>23</v>
      </c>
      <c r="F452" s="303" t="s">
        <v>20</v>
      </c>
      <c r="G452" s="303" t="s">
        <v>21</v>
      </c>
      <c r="H452" s="306" t="s">
        <v>24</v>
      </c>
      <c r="I452" s="306" t="s">
        <v>25</v>
      </c>
      <c r="J452" s="306" t="s">
        <v>34</v>
      </c>
      <c r="K452" s="307" t="s">
        <v>33</v>
      </c>
    </row>
    <row r="453" spans="3:11" ht="15.75" x14ac:dyDescent="0.25">
      <c r="C453" s="300" t="s">
        <v>1149</v>
      </c>
      <c r="D453" s="302" t="s">
        <v>21</v>
      </c>
      <c r="E453" s="303" t="s">
        <v>814</v>
      </c>
      <c r="F453" s="303" t="s">
        <v>20</v>
      </c>
      <c r="G453" s="303" t="s">
        <v>25</v>
      </c>
      <c r="H453" s="306" t="s">
        <v>24</v>
      </c>
      <c r="I453" s="306" t="s">
        <v>23</v>
      </c>
      <c r="J453" s="306" t="s">
        <v>34</v>
      </c>
      <c r="K453" s="307" t="s">
        <v>31</v>
      </c>
    </row>
    <row r="454" spans="3:11" ht="15.75" x14ac:dyDescent="0.25">
      <c r="C454" s="300" t="s">
        <v>1148</v>
      </c>
      <c r="D454" s="302" t="s">
        <v>31</v>
      </c>
      <c r="E454" s="303" t="s">
        <v>814</v>
      </c>
      <c r="F454" s="303" t="s">
        <v>20</v>
      </c>
      <c r="G454" s="303" t="s">
        <v>21</v>
      </c>
      <c r="H454" s="306" t="s">
        <v>24</v>
      </c>
      <c r="I454" s="306" t="s">
        <v>23</v>
      </c>
      <c r="J454" s="306" t="s">
        <v>25</v>
      </c>
      <c r="K454" s="307" t="s">
        <v>33</v>
      </c>
    </row>
    <row r="455" spans="3:11" ht="15.75" x14ac:dyDescent="0.25">
      <c r="C455" s="300" t="s">
        <v>1147</v>
      </c>
      <c r="D455" s="302" t="s">
        <v>31</v>
      </c>
      <c r="E455" s="303" t="s">
        <v>23</v>
      </c>
      <c r="F455" s="303" t="s">
        <v>20</v>
      </c>
      <c r="G455" s="303" t="s">
        <v>21</v>
      </c>
      <c r="H455" s="306" t="s">
        <v>24</v>
      </c>
      <c r="I455" s="306" t="s">
        <v>25</v>
      </c>
      <c r="J455" s="306" t="s">
        <v>34</v>
      </c>
      <c r="K455" s="307" t="s">
        <v>32</v>
      </c>
    </row>
    <row r="456" spans="3:11" ht="15.75" x14ac:dyDescent="0.25">
      <c r="C456" s="300" t="s">
        <v>1146</v>
      </c>
      <c r="D456" s="302" t="s">
        <v>31</v>
      </c>
      <c r="E456" s="303" t="s">
        <v>23</v>
      </c>
      <c r="F456" s="303" t="s">
        <v>20</v>
      </c>
      <c r="G456" s="303" t="s">
        <v>21</v>
      </c>
      <c r="H456" s="306" t="s">
        <v>24</v>
      </c>
      <c r="I456" s="306" t="s">
        <v>25</v>
      </c>
      <c r="J456" s="306" t="s">
        <v>32</v>
      </c>
      <c r="K456" s="307" t="s">
        <v>33</v>
      </c>
    </row>
    <row r="457" spans="3:11" ht="15.75" x14ac:dyDescent="0.25">
      <c r="C457" s="300" t="s">
        <v>1145</v>
      </c>
      <c r="D457" s="302" t="s">
        <v>31</v>
      </c>
      <c r="E457" s="303" t="s">
        <v>814</v>
      </c>
      <c r="F457" s="303" t="s">
        <v>20</v>
      </c>
      <c r="G457" s="303" t="s">
        <v>21</v>
      </c>
      <c r="H457" s="306" t="s">
        <v>24</v>
      </c>
      <c r="I457" s="306" t="s">
        <v>23</v>
      </c>
      <c r="J457" s="306" t="s">
        <v>25</v>
      </c>
      <c r="K457" s="307" t="s">
        <v>32</v>
      </c>
    </row>
    <row r="458" spans="3:11" ht="15.75" x14ac:dyDescent="0.25">
      <c r="C458" s="300" t="s">
        <v>1144</v>
      </c>
      <c r="D458" s="302" t="s">
        <v>21</v>
      </c>
      <c r="E458" s="303" t="s">
        <v>270</v>
      </c>
      <c r="F458" s="303" t="s">
        <v>20</v>
      </c>
      <c r="G458" s="303" t="s">
        <v>25</v>
      </c>
      <c r="H458" s="306" t="s">
        <v>24</v>
      </c>
      <c r="I458" s="306" t="s">
        <v>23</v>
      </c>
      <c r="J458" s="306" t="s">
        <v>34</v>
      </c>
      <c r="K458" s="307" t="s">
        <v>33</v>
      </c>
    </row>
    <row r="459" spans="3:11" ht="15.75" x14ac:dyDescent="0.25">
      <c r="C459" s="300" t="s">
        <v>1143</v>
      </c>
      <c r="D459" s="302" t="s">
        <v>21</v>
      </c>
      <c r="E459" s="303" t="s">
        <v>270</v>
      </c>
      <c r="F459" s="303" t="s">
        <v>20</v>
      </c>
      <c r="G459" s="303" t="s">
        <v>25</v>
      </c>
      <c r="H459" s="306" t="s">
        <v>24</v>
      </c>
      <c r="I459" s="306" t="s">
        <v>23</v>
      </c>
      <c r="J459" s="306" t="s">
        <v>34</v>
      </c>
      <c r="K459" s="307" t="s">
        <v>814</v>
      </c>
    </row>
    <row r="460" spans="3:11" ht="15.75" x14ac:dyDescent="0.25">
      <c r="C460" s="300" t="s">
        <v>1142</v>
      </c>
      <c r="D460" s="302" t="s">
        <v>21</v>
      </c>
      <c r="E460" s="303" t="s">
        <v>270</v>
      </c>
      <c r="F460" s="303" t="s">
        <v>20</v>
      </c>
      <c r="G460" s="303" t="s">
        <v>25</v>
      </c>
      <c r="H460" s="306" t="s">
        <v>24</v>
      </c>
      <c r="I460" s="306" t="s">
        <v>23</v>
      </c>
      <c r="J460" s="306" t="s">
        <v>814</v>
      </c>
      <c r="K460" s="307" t="s">
        <v>33</v>
      </c>
    </row>
    <row r="461" spans="3:11" ht="15.75" x14ac:dyDescent="0.25">
      <c r="C461" s="300" t="s">
        <v>1141</v>
      </c>
      <c r="D461" s="302" t="s">
        <v>21</v>
      </c>
      <c r="E461" s="303" t="s">
        <v>270</v>
      </c>
      <c r="F461" s="303" t="s">
        <v>20</v>
      </c>
      <c r="G461" s="303" t="s">
        <v>25</v>
      </c>
      <c r="H461" s="306" t="s">
        <v>24</v>
      </c>
      <c r="I461" s="306" t="s">
        <v>23</v>
      </c>
      <c r="J461" s="306" t="s">
        <v>34</v>
      </c>
      <c r="K461" s="307" t="s">
        <v>32</v>
      </c>
    </row>
    <row r="462" spans="3:11" ht="15.75" x14ac:dyDescent="0.25">
      <c r="C462" s="300" t="s">
        <v>1140</v>
      </c>
      <c r="D462" s="302" t="s">
        <v>21</v>
      </c>
      <c r="E462" s="303" t="s">
        <v>270</v>
      </c>
      <c r="F462" s="303" t="s">
        <v>20</v>
      </c>
      <c r="G462" s="303" t="s">
        <v>25</v>
      </c>
      <c r="H462" s="306" t="s">
        <v>24</v>
      </c>
      <c r="I462" s="306" t="s">
        <v>23</v>
      </c>
      <c r="J462" s="306" t="s">
        <v>32</v>
      </c>
      <c r="K462" s="307" t="s">
        <v>33</v>
      </c>
    </row>
    <row r="463" spans="3:11" ht="15.75" x14ac:dyDescent="0.25">
      <c r="C463" s="300" t="s">
        <v>1139</v>
      </c>
      <c r="D463" s="302" t="s">
        <v>21</v>
      </c>
      <c r="E463" s="303" t="s">
        <v>270</v>
      </c>
      <c r="F463" s="303" t="s">
        <v>20</v>
      </c>
      <c r="G463" s="303" t="s">
        <v>25</v>
      </c>
      <c r="H463" s="306" t="s">
        <v>24</v>
      </c>
      <c r="I463" s="306" t="s">
        <v>23</v>
      </c>
      <c r="J463" s="306" t="s">
        <v>32</v>
      </c>
      <c r="K463" s="307" t="s">
        <v>814</v>
      </c>
    </row>
    <row r="464" spans="3:11" ht="15.75" x14ac:dyDescent="0.25">
      <c r="C464" s="300" t="s">
        <v>1138</v>
      </c>
      <c r="D464" s="302" t="s">
        <v>21</v>
      </c>
      <c r="E464" s="303" t="s">
        <v>270</v>
      </c>
      <c r="F464" s="303" t="s">
        <v>20</v>
      </c>
      <c r="G464" s="303" t="s">
        <v>25</v>
      </c>
      <c r="H464" s="306" t="s">
        <v>24</v>
      </c>
      <c r="I464" s="306" t="s">
        <v>23</v>
      </c>
      <c r="J464" s="306" t="s">
        <v>34</v>
      </c>
      <c r="K464" s="307" t="s">
        <v>31</v>
      </c>
    </row>
    <row r="465" spans="3:11" ht="15.75" x14ac:dyDescent="0.25">
      <c r="C465" s="300" t="s">
        <v>1137</v>
      </c>
      <c r="D465" s="302" t="s">
        <v>31</v>
      </c>
      <c r="E465" s="303" t="s">
        <v>270</v>
      </c>
      <c r="F465" s="303" t="s">
        <v>20</v>
      </c>
      <c r="G465" s="303" t="s">
        <v>21</v>
      </c>
      <c r="H465" s="306" t="s">
        <v>24</v>
      </c>
      <c r="I465" s="306" t="s">
        <v>23</v>
      </c>
      <c r="J465" s="306" t="s">
        <v>25</v>
      </c>
      <c r="K465" s="307" t="s">
        <v>33</v>
      </c>
    </row>
    <row r="466" spans="3:11" ht="15.75" x14ac:dyDescent="0.25">
      <c r="C466" s="300" t="s">
        <v>1136</v>
      </c>
      <c r="D466" s="302" t="s">
        <v>31</v>
      </c>
      <c r="E466" s="303" t="s">
        <v>270</v>
      </c>
      <c r="F466" s="303" t="s">
        <v>20</v>
      </c>
      <c r="G466" s="303" t="s">
        <v>21</v>
      </c>
      <c r="H466" s="306" t="s">
        <v>24</v>
      </c>
      <c r="I466" s="306" t="s">
        <v>23</v>
      </c>
      <c r="J466" s="306" t="s">
        <v>25</v>
      </c>
      <c r="K466" s="307" t="s">
        <v>814</v>
      </c>
    </row>
    <row r="467" spans="3:11" ht="15.75" x14ac:dyDescent="0.25">
      <c r="C467" s="300" t="s">
        <v>1135</v>
      </c>
      <c r="D467" s="302" t="s">
        <v>31</v>
      </c>
      <c r="E467" s="303" t="s">
        <v>270</v>
      </c>
      <c r="F467" s="303" t="s">
        <v>20</v>
      </c>
      <c r="G467" s="303" t="s">
        <v>21</v>
      </c>
      <c r="H467" s="306" t="s">
        <v>24</v>
      </c>
      <c r="I467" s="306" t="s">
        <v>23</v>
      </c>
      <c r="J467" s="306" t="s">
        <v>25</v>
      </c>
      <c r="K467" s="307" t="s">
        <v>32</v>
      </c>
    </row>
    <row r="468" spans="3:11" ht="15.75" x14ac:dyDescent="0.25">
      <c r="C468" s="300" t="s">
        <v>1134</v>
      </c>
      <c r="D468" s="302" t="s">
        <v>22</v>
      </c>
      <c r="E468" s="303" t="s">
        <v>814</v>
      </c>
      <c r="F468" s="303" t="s">
        <v>20</v>
      </c>
      <c r="G468" s="303" t="s">
        <v>21</v>
      </c>
      <c r="H468" s="306" t="s">
        <v>24</v>
      </c>
      <c r="I468" s="306" t="s">
        <v>25</v>
      </c>
      <c r="J468" s="306" t="s">
        <v>34</v>
      </c>
      <c r="K468" s="307" t="s">
        <v>33</v>
      </c>
    </row>
    <row r="469" spans="3:11" ht="15.75" x14ac:dyDescent="0.25">
      <c r="C469" s="300" t="s">
        <v>1133</v>
      </c>
      <c r="D469" s="302" t="s">
        <v>22</v>
      </c>
      <c r="E469" s="303" t="s">
        <v>32</v>
      </c>
      <c r="F469" s="303" t="s">
        <v>20</v>
      </c>
      <c r="G469" s="303" t="s">
        <v>21</v>
      </c>
      <c r="H469" s="306" t="s">
        <v>24</v>
      </c>
      <c r="I469" s="306" t="s">
        <v>25</v>
      </c>
      <c r="J469" s="306" t="s">
        <v>34</v>
      </c>
      <c r="K469" s="307" t="s">
        <v>33</v>
      </c>
    </row>
    <row r="470" spans="3:11" ht="15.75" x14ac:dyDescent="0.25">
      <c r="C470" s="300" t="s">
        <v>1132</v>
      </c>
      <c r="D470" s="302" t="s">
        <v>22</v>
      </c>
      <c r="E470" s="303" t="s">
        <v>814</v>
      </c>
      <c r="F470" s="303" t="s">
        <v>20</v>
      </c>
      <c r="G470" s="303" t="s">
        <v>21</v>
      </c>
      <c r="H470" s="306" t="s">
        <v>24</v>
      </c>
      <c r="I470" s="306" t="s">
        <v>25</v>
      </c>
      <c r="J470" s="306" t="s">
        <v>34</v>
      </c>
      <c r="K470" s="307" t="s">
        <v>32</v>
      </c>
    </row>
    <row r="471" spans="3:11" ht="15.75" x14ac:dyDescent="0.25">
      <c r="C471" s="300" t="s">
        <v>1131</v>
      </c>
      <c r="D471" s="302" t="s">
        <v>22</v>
      </c>
      <c r="E471" s="303" t="s">
        <v>814</v>
      </c>
      <c r="F471" s="303" t="s">
        <v>20</v>
      </c>
      <c r="G471" s="303" t="s">
        <v>21</v>
      </c>
      <c r="H471" s="306" t="s">
        <v>24</v>
      </c>
      <c r="I471" s="306" t="s">
        <v>25</v>
      </c>
      <c r="J471" s="306" t="s">
        <v>32</v>
      </c>
      <c r="K471" s="307" t="s">
        <v>33</v>
      </c>
    </row>
    <row r="472" spans="3:11" ht="15.75" x14ac:dyDescent="0.25">
      <c r="C472" s="300" t="s">
        <v>1130</v>
      </c>
      <c r="D472" s="302" t="s">
        <v>31</v>
      </c>
      <c r="E472" s="303" t="s">
        <v>22</v>
      </c>
      <c r="F472" s="303" t="s">
        <v>20</v>
      </c>
      <c r="G472" s="303" t="s">
        <v>21</v>
      </c>
      <c r="H472" s="306" t="s">
        <v>24</v>
      </c>
      <c r="I472" s="306" t="s">
        <v>25</v>
      </c>
      <c r="J472" s="306" t="s">
        <v>34</v>
      </c>
      <c r="K472" s="307" t="s">
        <v>33</v>
      </c>
    </row>
    <row r="473" spans="3:11" ht="15.75" x14ac:dyDescent="0.25">
      <c r="C473" s="300" t="s">
        <v>1129</v>
      </c>
      <c r="D473" s="302" t="s">
        <v>31</v>
      </c>
      <c r="E473" s="303" t="s">
        <v>814</v>
      </c>
      <c r="F473" s="303" t="s">
        <v>20</v>
      </c>
      <c r="G473" s="303" t="s">
        <v>21</v>
      </c>
      <c r="H473" s="306" t="s">
        <v>24</v>
      </c>
      <c r="I473" s="306" t="s">
        <v>25</v>
      </c>
      <c r="J473" s="306" t="s">
        <v>34</v>
      </c>
      <c r="K473" s="307" t="s">
        <v>22</v>
      </c>
    </row>
    <row r="474" spans="3:11" ht="15.75" x14ac:dyDescent="0.25">
      <c r="C474" s="300" t="s">
        <v>1128</v>
      </c>
      <c r="D474" s="302" t="s">
        <v>31</v>
      </c>
      <c r="E474" s="303" t="s">
        <v>814</v>
      </c>
      <c r="F474" s="303" t="s">
        <v>20</v>
      </c>
      <c r="G474" s="303" t="s">
        <v>21</v>
      </c>
      <c r="H474" s="306" t="s">
        <v>24</v>
      </c>
      <c r="I474" s="306" t="s">
        <v>25</v>
      </c>
      <c r="J474" s="306" t="s">
        <v>22</v>
      </c>
      <c r="K474" s="307" t="s">
        <v>33</v>
      </c>
    </row>
    <row r="475" spans="3:11" ht="15.75" x14ac:dyDescent="0.25">
      <c r="C475" s="300" t="s">
        <v>1127</v>
      </c>
      <c r="D475" s="302" t="s">
        <v>31</v>
      </c>
      <c r="E475" s="303" t="s">
        <v>22</v>
      </c>
      <c r="F475" s="303" t="s">
        <v>20</v>
      </c>
      <c r="G475" s="303" t="s">
        <v>21</v>
      </c>
      <c r="H475" s="306" t="s">
        <v>24</v>
      </c>
      <c r="I475" s="306" t="s">
        <v>25</v>
      </c>
      <c r="J475" s="306" t="s">
        <v>34</v>
      </c>
      <c r="K475" s="307" t="s">
        <v>32</v>
      </c>
    </row>
    <row r="476" spans="3:11" ht="15.75" x14ac:dyDescent="0.25">
      <c r="C476" s="300" t="s">
        <v>1126</v>
      </c>
      <c r="D476" s="302" t="s">
        <v>31</v>
      </c>
      <c r="E476" s="303" t="s">
        <v>22</v>
      </c>
      <c r="F476" s="303" t="s">
        <v>20</v>
      </c>
      <c r="G476" s="303" t="s">
        <v>21</v>
      </c>
      <c r="H476" s="306" t="s">
        <v>24</v>
      </c>
      <c r="I476" s="306" t="s">
        <v>25</v>
      </c>
      <c r="J476" s="306" t="s">
        <v>32</v>
      </c>
      <c r="K476" s="307" t="s">
        <v>33</v>
      </c>
    </row>
    <row r="477" spans="3:11" ht="15.75" x14ac:dyDescent="0.25">
      <c r="C477" s="300" t="s">
        <v>1125</v>
      </c>
      <c r="D477" s="302" t="s">
        <v>31</v>
      </c>
      <c r="E477" s="303" t="s">
        <v>814</v>
      </c>
      <c r="F477" s="303" t="s">
        <v>20</v>
      </c>
      <c r="G477" s="303" t="s">
        <v>21</v>
      </c>
      <c r="H477" s="306" t="s">
        <v>24</v>
      </c>
      <c r="I477" s="306" t="s">
        <v>25</v>
      </c>
      <c r="J477" s="306" t="s">
        <v>22</v>
      </c>
      <c r="K477" s="307" t="s">
        <v>32</v>
      </c>
    </row>
    <row r="478" spans="3:11" ht="15.75" x14ac:dyDescent="0.25">
      <c r="C478" s="300" t="s">
        <v>1124</v>
      </c>
      <c r="D478" s="302" t="s">
        <v>22</v>
      </c>
      <c r="E478" s="303" t="s">
        <v>270</v>
      </c>
      <c r="F478" s="303" t="s">
        <v>20</v>
      </c>
      <c r="G478" s="303" t="s">
        <v>21</v>
      </c>
      <c r="H478" s="306" t="s">
        <v>24</v>
      </c>
      <c r="I478" s="306" t="s">
        <v>25</v>
      </c>
      <c r="J478" s="306" t="s">
        <v>34</v>
      </c>
      <c r="K478" s="307" t="s">
        <v>33</v>
      </c>
    </row>
    <row r="479" spans="3:11" ht="15.75" x14ac:dyDescent="0.25">
      <c r="C479" s="300" t="s">
        <v>1123</v>
      </c>
      <c r="D479" s="302" t="s">
        <v>22</v>
      </c>
      <c r="E479" s="303" t="s">
        <v>270</v>
      </c>
      <c r="F479" s="303" t="s">
        <v>20</v>
      </c>
      <c r="G479" s="303" t="s">
        <v>21</v>
      </c>
      <c r="H479" s="306" t="s">
        <v>24</v>
      </c>
      <c r="I479" s="306" t="s">
        <v>25</v>
      </c>
      <c r="J479" s="306" t="s">
        <v>34</v>
      </c>
      <c r="K479" s="307" t="s">
        <v>814</v>
      </c>
    </row>
    <row r="480" spans="3:11" ht="15.75" x14ac:dyDescent="0.25">
      <c r="C480" s="300" t="s">
        <v>1122</v>
      </c>
      <c r="D480" s="302" t="s">
        <v>22</v>
      </c>
      <c r="E480" s="303" t="s">
        <v>270</v>
      </c>
      <c r="F480" s="303" t="s">
        <v>20</v>
      </c>
      <c r="G480" s="303" t="s">
        <v>21</v>
      </c>
      <c r="H480" s="306" t="s">
        <v>24</v>
      </c>
      <c r="I480" s="306" t="s">
        <v>25</v>
      </c>
      <c r="J480" s="306" t="s">
        <v>814</v>
      </c>
      <c r="K480" s="307" t="s">
        <v>33</v>
      </c>
    </row>
    <row r="481" spans="3:11" ht="15.75" x14ac:dyDescent="0.25">
      <c r="C481" s="300" t="s">
        <v>1121</v>
      </c>
      <c r="D481" s="302" t="s">
        <v>22</v>
      </c>
      <c r="E481" s="303" t="s">
        <v>270</v>
      </c>
      <c r="F481" s="303" t="s">
        <v>20</v>
      </c>
      <c r="G481" s="303" t="s">
        <v>21</v>
      </c>
      <c r="H481" s="306" t="s">
        <v>24</v>
      </c>
      <c r="I481" s="306" t="s">
        <v>25</v>
      </c>
      <c r="J481" s="306" t="s">
        <v>34</v>
      </c>
      <c r="K481" s="307" t="s">
        <v>32</v>
      </c>
    </row>
    <row r="482" spans="3:11" ht="15.75" x14ac:dyDescent="0.25">
      <c r="C482" s="300" t="s">
        <v>1120</v>
      </c>
      <c r="D482" s="302" t="s">
        <v>22</v>
      </c>
      <c r="E482" s="303" t="s">
        <v>270</v>
      </c>
      <c r="F482" s="303" t="s">
        <v>20</v>
      </c>
      <c r="G482" s="303" t="s">
        <v>21</v>
      </c>
      <c r="H482" s="306" t="s">
        <v>24</v>
      </c>
      <c r="I482" s="306" t="s">
        <v>25</v>
      </c>
      <c r="J482" s="306" t="s">
        <v>32</v>
      </c>
      <c r="K482" s="307" t="s">
        <v>33</v>
      </c>
    </row>
    <row r="483" spans="3:11" ht="15.75" x14ac:dyDescent="0.25">
      <c r="C483" s="300" t="s">
        <v>1119</v>
      </c>
      <c r="D483" s="302" t="s">
        <v>22</v>
      </c>
      <c r="E483" s="303" t="s">
        <v>270</v>
      </c>
      <c r="F483" s="303" t="s">
        <v>20</v>
      </c>
      <c r="G483" s="303" t="s">
        <v>21</v>
      </c>
      <c r="H483" s="306" t="s">
        <v>24</v>
      </c>
      <c r="I483" s="306" t="s">
        <v>25</v>
      </c>
      <c r="J483" s="306" t="s">
        <v>32</v>
      </c>
      <c r="K483" s="307" t="s">
        <v>814</v>
      </c>
    </row>
    <row r="484" spans="3:11" ht="15.75" x14ac:dyDescent="0.25">
      <c r="C484" s="300" t="s">
        <v>1118</v>
      </c>
      <c r="D484" s="302" t="s">
        <v>31</v>
      </c>
      <c r="E484" s="303" t="s">
        <v>270</v>
      </c>
      <c r="F484" s="303" t="s">
        <v>20</v>
      </c>
      <c r="G484" s="303" t="s">
        <v>21</v>
      </c>
      <c r="H484" s="306" t="s">
        <v>24</v>
      </c>
      <c r="I484" s="306" t="s">
        <v>25</v>
      </c>
      <c r="J484" s="306" t="s">
        <v>34</v>
      </c>
      <c r="K484" s="307" t="s">
        <v>22</v>
      </c>
    </row>
    <row r="485" spans="3:11" ht="15.75" x14ac:dyDescent="0.25">
      <c r="C485" s="300" t="s">
        <v>1117</v>
      </c>
      <c r="D485" s="302" t="s">
        <v>31</v>
      </c>
      <c r="E485" s="303" t="s">
        <v>270</v>
      </c>
      <c r="F485" s="303" t="s">
        <v>20</v>
      </c>
      <c r="G485" s="303" t="s">
        <v>21</v>
      </c>
      <c r="H485" s="306" t="s">
        <v>24</v>
      </c>
      <c r="I485" s="306" t="s">
        <v>25</v>
      </c>
      <c r="J485" s="306" t="s">
        <v>22</v>
      </c>
      <c r="K485" s="307" t="s">
        <v>33</v>
      </c>
    </row>
    <row r="486" spans="3:11" ht="15.75" x14ac:dyDescent="0.25">
      <c r="C486" s="300" t="s">
        <v>1116</v>
      </c>
      <c r="D486" s="302" t="s">
        <v>31</v>
      </c>
      <c r="E486" s="303" t="s">
        <v>270</v>
      </c>
      <c r="F486" s="303" t="s">
        <v>20</v>
      </c>
      <c r="G486" s="303" t="s">
        <v>21</v>
      </c>
      <c r="H486" s="306" t="s">
        <v>24</v>
      </c>
      <c r="I486" s="306" t="s">
        <v>25</v>
      </c>
      <c r="J486" s="306" t="s">
        <v>22</v>
      </c>
      <c r="K486" s="307" t="s">
        <v>814</v>
      </c>
    </row>
    <row r="487" spans="3:11" ht="15.75" x14ac:dyDescent="0.25">
      <c r="C487" s="300" t="s">
        <v>1115</v>
      </c>
      <c r="D487" s="302" t="s">
        <v>31</v>
      </c>
      <c r="E487" s="303" t="s">
        <v>270</v>
      </c>
      <c r="F487" s="303" t="s">
        <v>20</v>
      </c>
      <c r="G487" s="303" t="s">
        <v>21</v>
      </c>
      <c r="H487" s="306" t="s">
        <v>24</v>
      </c>
      <c r="I487" s="306" t="s">
        <v>25</v>
      </c>
      <c r="J487" s="306" t="s">
        <v>22</v>
      </c>
      <c r="K487" s="307" t="s">
        <v>32</v>
      </c>
    </row>
    <row r="488" spans="3:11" ht="15.75" x14ac:dyDescent="0.25">
      <c r="C488" s="300" t="s">
        <v>1114</v>
      </c>
      <c r="D488" s="302" t="s">
        <v>21</v>
      </c>
      <c r="E488" s="303" t="s">
        <v>22</v>
      </c>
      <c r="F488" s="303" t="s">
        <v>20</v>
      </c>
      <c r="G488" s="303" t="s">
        <v>25</v>
      </c>
      <c r="H488" s="306" t="s">
        <v>24</v>
      </c>
      <c r="I488" s="306" t="s">
        <v>23</v>
      </c>
      <c r="J488" s="306" t="s">
        <v>34</v>
      </c>
      <c r="K488" s="307" t="s">
        <v>33</v>
      </c>
    </row>
    <row r="489" spans="3:11" ht="15.75" x14ac:dyDescent="0.25">
      <c r="C489" s="300" t="s">
        <v>1113</v>
      </c>
      <c r="D489" s="302" t="s">
        <v>21</v>
      </c>
      <c r="E489" s="303" t="s">
        <v>814</v>
      </c>
      <c r="F489" s="303" t="s">
        <v>20</v>
      </c>
      <c r="G489" s="303" t="s">
        <v>25</v>
      </c>
      <c r="H489" s="306" t="s">
        <v>24</v>
      </c>
      <c r="I489" s="306" t="s">
        <v>23</v>
      </c>
      <c r="J489" s="306" t="s">
        <v>34</v>
      </c>
      <c r="K489" s="307" t="s">
        <v>22</v>
      </c>
    </row>
    <row r="490" spans="3:11" ht="15.75" x14ac:dyDescent="0.25">
      <c r="C490" s="300" t="s">
        <v>1112</v>
      </c>
      <c r="D490" s="302" t="s">
        <v>21</v>
      </c>
      <c r="E490" s="303" t="s">
        <v>814</v>
      </c>
      <c r="F490" s="303" t="s">
        <v>20</v>
      </c>
      <c r="G490" s="303" t="s">
        <v>25</v>
      </c>
      <c r="H490" s="306" t="s">
        <v>24</v>
      </c>
      <c r="I490" s="306" t="s">
        <v>23</v>
      </c>
      <c r="J490" s="306" t="s">
        <v>22</v>
      </c>
      <c r="K490" s="307" t="s">
        <v>33</v>
      </c>
    </row>
    <row r="491" spans="3:11" ht="15.75" x14ac:dyDescent="0.25">
      <c r="C491" s="300" t="s">
        <v>1111</v>
      </c>
      <c r="D491" s="302" t="s">
        <v>21</v>
      </c>
      <c r="E491" s="303" t="s">
        <v>22</v>
      </c>
      <c r="F491" s="303" t="s">
        <v>20</v>
      </c>
      <c r="G491" s="303" t="s">
        <v>25</v>
      </c>
      <c r="H491" s="306" t="s">
        <v>24</v>
      </c>
      <c r="I491" s="306" t="s">
        <v>23</v>
      </c>
      <c r="J491" s="306" t="s">
        <v>34</v>
      </c>
      <c r="K491" s="307" t="s">
        <v>32</v>
      </c>
    </row>
    <row r="492" spans="3:11" ht="15.75" x14ac:dyDescent="0.25">
      <c r="C492" s="300" t="s">
        <v>1110</v>
      </c>
      <c r="D492" s="302" t="s">
        <v>21</v>
      </c>
      <c r="E492" s="303" t="s">
        <v>22</v>
      </c>
      <c r="F492" s="303" t="s">
        <v>20</v>
      </c>
      <c r="G492" s="303" t="s">
        <v>25</v>
      </c>
      <c r="H492" s="306" t="s">
        <v>24</v>
      </c>
      <c r="I492" s="306" t="s">
        <v>23</v>
      </c>
      <c r="J492" s="306" t="s">
        <v>32</v>
      </c>
      <c r="K492" s="307" t="s">
        <v>33</v>
      </c>
    </row>
    <row r="493" spans="3:11" ht="15.75" x14ac:dyDescent="0.25">
      <c r="C493" s="300" t="s">
        <v>1109</v>
      </c>
      <c r="D493" s="302" t="s">
        <v>21</v>
      </c>
      <c r="E493" s="303" t="s">
        <v>814</v>
      </c>
      <c r="F493" s="303" t="s">
        <v>20</v>
      </c>
      <c r="G493" s="303" t="s">
        <v>25</v>
      </c>
      <c r="H493" s="306" t="s">
        <v>24</v>
      </c>
      <c r="I493" s="306" t="s">
        <v>23</v>
      </c>
      <c r="J493" s="306" t="s">
        <v>22</v>
      </c>
      <c r="K493" s="307" t="s">
        <v>32</v>
      </c>
    </row>
    <row r="494" spans="3:11" ht="15.75" x14ac:dyDescent="0.25">
      <c r="C494" s="300" t="s">
        <v>1108</v>
      </c>
      <c r="D494" s="302" t="s">
        <v>31</v>
      </c>
      <c r="E494" s="303" t="s">
        <v>23</v>
      </c>
      <c r="F494" s="303" t="s">
        <v>20</v>
      </c>
      <c r="G494" s="303" t="s">
        <v>21</v>
      </c>
      <c r="H494" s="306" t="s">
        <v>24</v>
      </c>
      <c r="I494" s="306" t="s">
        <v>25</v>
      </c>
      <c r="J494" s="306" t="s">
        <v>34</v>
      </c>
      <c r="K494" s="307" t="s">
        <v>22</v>
      </c>
    </row>
    <row r="495" spans="3:11" ht="15.75" x14ac:dyDescent="0.25">
      <c r="C495" s="300" t="s">
        <v>1107</v>
      </c>
      <c r="D495" s="302" t="s">
        <v>31</v>
      </c>
      <c r="E495" s="303" t="s">
        <v>22</v>
      </c>
      <c r="F495" s="303" t="s">
        <v>20</v>
      </c>
      <c r="G495" s="303" t="s">
        <v>21</v>
      </c>
      <c r="H495" s="306" t="s">
        <v>24</v>
      </c>
      <c r="I495" s="306" t="s">
        <v>23</v>
      </c>
      <c r="J495" s="306" t="s">
        <v>25</v>
      </c>
      <c r="K495" s="307" t="s">
        <v>33</v>
      </c>
    </row>
    <row r="496" spans="3:11" ht="15.75" x14ac:dyDescent="0.25">
      <c r="C496" s="300" t="s">
        <v>1106</v>
      </c>
      <c r="D496" s="302" t="s">
        <v>31</v>
      </c>
      <c r="E496" s="303" t="s">
        <v>814</v>
      </c>
      <c r="F496" s="303" t="s">
        <v>20</v>
      </c>
      <c r="G496" s="303" t="s">
        <v>21</v>
      </c>
      <c r="H496" s="306" t="s">
        <v>24</v>
      </c>
      <c r="I496" s="306" t="s">
        <v>23</v>
      </c>
      <c r="J496" s="306" t="s">
        <v>25</v>
      </c>
      <c r="K496" s="307" t="s">
        <v>22</v>
      </c>
    </row>
    <row r="497" spans="3:11" ht="15.75" x14ac:dyDescent="0.25">
      <c r="C497" s="300" t="s">
        <v>1105</v>
      </c>
      <c r="D497" s="302" t="s">
        <v>31</v>
      </c>
      <c r="E497" s="303" t="s">
        <v>22</v>
      </c>
      <c r="F497" s="303" t="s">
        <v>20</v>
      </c>
      <c r="G497" s="303" t="s">
        <v>21</v>
      </c>
      <c r="H497" s="306" t="s">
        <v>24</v>
      </c>
      <c r="I497" s="306" t="s">
        <v>23</v>
      </c>
      <c r="J497" s="306" t="s">
        <v>25</v>
      </c>
      <c r="K497" s="307" t="s">
        <v>32</v>
      </c>
    </row>
    <row r="498" spans="3:11" ht="15.75" x14ac:dyDescent="0.25">
      <c r="C498" s="300" t="s">
        <v>1104</v>
      </c>
      <c r="D498" s="302" t="s">
        <v>21</v>
      </c>
      <c r="E498" s="303" t="s">
        <v>270</v>
      </c>
      <c r="F498" s="303" t="s">
        <v>20</v>
      </c>
      <c r="G498" s="303" t="s">
        <v>25</v>
      </c>
      <c r="H498" s="306" t="s">
        <v>24</v>
      </c>
      <c r="I498" s="306" t="s">
        <v>23</v>
      </c>
      <c r="J498" s="306" t="s">
        <v>34</v>
      </c>
      <c r="K498" s="307" t="s">
        <v>22</v>
      </c>
    </row>
    <row r="499" spans="3:11" ht="15.75" x14ac:dyDescent="0.25">
      <c r="C499" s="300" t="s">
        <v>1103</v>
      </c>
      <c r="D499" s="302" t="s">
        <v>21</v>
      </c>
      <c r="E499" s="303" t="s">
        <v>270</v>
      </c>
      <c r="F499" s="303" t="s">
        <v>20</v>
      </c>
      <c r="G499" s="303" t="s">
        <v>25</v>
      </c>
      <c r="H499" s="306" t="s">
        <v>24</v>
      </c>
      <c r="I499" s="306" t="s">
        <v>23</v>
      </c>
      <c r="J499" s="306" t="s">
        <v>22</v>
      </c>
      <c r="K499" s="307" t="s">
        <v>33</v>
      </c>
    </row>
    <row r="500" spans="3:11" ht="15.75" x14ac:dyDescent="0.25">
      <c r="C500" s="300" t="s">
        <v>1102</v>
      </c>
      <c r="D500" s="302" t="s">
        <v>21</v>
      </c>
      <c r="E500" s="303" t="s">
        <v>270</v>
      </c>
      <c r="F500" s="303" t="s">
        <v>20</v>
      </c>
      <c r="G500" s="303" t="s">
        <v>25</v>
      </c>
      <c r="H500" s="306" t="s">
        <v>24</v>
      </c>
      <c r="I500" s="306" t="s">
        <v>23</v>
      </c>
      <c r="J500" s="306" t="s">
        <v>22</v>
      </c>
      <c r="K500" s="307" t="s">
        <v>814</v>
      </c>
    </row>
    <row r="501" spans="3:11" ht="15.75" x14ac:dyDescent="0.25">
      <c r="C501" s="300" t="s">
        <v>1101</v>
      </c>
      <c r="D501" s="302" t="s">
        <v>21</v>
      </c>
      <c r="E501" s="303" t="s">
        <v>270</v>
      </c>
      <c r="F501" s="303" t="s">
        <v>20</v>
      </c>
      <c r="G501" s="303" t="s">
        <v>25</v>
      </c>
      <c r="H501" s="306" t="s">
        <v>24</v>
      </c>
      <c r="I501" s="306" t="s">
        <v>23</v>
      </c>
      <c r="J501" s="306" t="s">
        <v>22</v>
      </c>
      <c r="K501" s="307" t="s">
        <v>32</v>
      </c>
    </row>
    <row r="502" spans="3:11" ht="16.5" thickBot="1" x14ac:dyDescent="0.3">
      <c r="C502" s="301" t="s">
        <v>1100</v>
      </c>
      <c r="D502" s="308" t="s">
        <v>31</v>
      </c>
      <c r="E502" s="309" t="s">
        <v>270</v>
      </c>
      <c r="F502" s="309" t="s">
        <v>20</v>
      </c>
      <c r="G502" s="309" t="s">
        <v>21</v>
      </c>
      <c r="H502" s="310" t="s">
        <v>24</v>
      </c>
      <c r="I502" s="310" t="s">
        <v>23</v>
      </c>
      <c r="J502" s="310" t="s">
        <v>25</v>
      </c>
      <c r="K502" s="311" t="s">
        <v>22</v>
      </c>
    </row>
    <row r="503" spans="3:11" ht="15.75" thickTop="1" x14ac:dyDescent="0.25">
      <c r="H503" s="244"/>
      <c r="I503" s="244"/>
      <c r="J503" s="244"/>
      <c r="K503" s="244"/>
    </row>
    <row r="504" spans="3:11" x14ac:dyDescent="0.25"/>
  </sheetData>
  <sheetProtection sheet="1" objects="1" scenarios="1" selectLockedCells="1"/>
  <mergeCells count="3">
    <mergeCell ref="C2:K2"/>
    <mergeCell ref="C5:C7"/>
    <mergeCell ref="C3:K3"/>
  </mergeCells>
  <pageMargins left="0.23622047244094491" right="0.23622047244094491" top="0.35433070866141736" bottom="0.35433070866141736" header="0.31496062992125984" footer="0.31496062992125984"/>
  <pageSetup paperSize="9" scale="89" fitToHeight="0"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1" id="{7E9DBDBC-E360-438B-9C21-FE270B8017AD}">
            <xm:f>$C8=ThirdPlaced!$I$30</xm:f>
            <x14:dxf>
              <fill>
                <patternFill>
                  <bgColor rgb="FFD6EDBD"/>
                </patternFill>
              </fill>
            </x14:dxf>
          </x14:cfRule>
          <xm:sqref>C8:K502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A53C-2BC3-4DF0-B177-6E1C7AE15C75}">
  <sheetPr codeName="Tabelle28"/>
  <dimension ref="A1:S33"/>
  <sheetViews>
    <sheetView workbookViewId="0"/>
  </sheetViews>
  <sheetFormatPr baseColWidth="10" defaultRowHeight="15" x14ac:dyDescent="0.25"/>
  <cols>
    <col min="1" max="1" width="7.85546875" customWidth="1"/>
    <col min="2" max="2" width="4.42578125" style="244" customWidth="1"/>
    <col min="3" max="3" width="14" customWidth="1"/>
    <col min="4" max="4" width="7.85546875" customWidth="1"/>
    <col min="5" max="5" width="7.7109375" customWidth="1"/>
    <col min="6" max="6" width="5" customWidth="1"/>
    <col min="7" max="7" width="5.42578125" customWidth="1"/>
    <col min="8" max="8" width="19.140625" customWidth="1"/>
    <col min="10" max="10" width="7.85546875" customWidth="1"/>
    <col min="13" max="13" width="4.28515625" customWidth="1"/>
    <col min="14" max="14" width="4.5703125" customWidth="1"/>
    <col min="15" max="15" width="0.85546875" customWidth="1"/>
    <col min="16" max="16" width="3.5703125" customWidth="1"/>
    <col min="18" max="18" width="13" customWidth="1"/>
  </cols>
  <sheetData>
    <row r="1" spans="1:19" ht="23.25" x14ac:dyDescent="0.35">
      <c r="C1" s="315" t="str">
        <f>Sprache!$E$180</f>
        <v>Gruppendritte</v>
      </c>
    </row>
    <row r="2" spans="1:19" ht="38.25" customHeight="1" x14ac:dyDescent="0.25"/>
    <row r="3" spans="1:19" x14ac:dyDescent="0.25">
      <c r="A3" s="316"/>
      <c r="B3" s="33"/>
      <c r="C3" s="32"/>
      <c r="D3" s="314" t="s">
        <v>1080</v>
      </c>
      <c r="E3" s="314" t="s">
        <v>189</v>
      </c>
      <c r="F3" s="314" t="s">
        <v>1081</v>
      </c>
      <c r="G3" s="314" t="s">
        <v>1082</v>
      </c>
      <c r="H3" s="314" t="s">
        <v>190</v>
      </c>
      <c r="I3" s="314" t="s">
        <v>196</v>
      </c>
      <c r="J3" s="314"/>
      <c r="K3" s="314" t="s">
        <v>30</v>
      </c>
      <c r="L3" s="491" t="s">
        <v>1696</v>
      </c>
    </row>
    <row r="4" spans="1:19" x14ac:dyDescent="0.25">
      <c r="A4" s="244"/>
      <c r="B4" s="368" t="s">
        <v>26</v>
      </c>
      <c r="C4" s="369" t="str">
        <f>CalcA!$D$24</f>
        <v>Südkorea</v>
      </c>
      <c r="D4" s="368">
        <f>CalcA!$E$24</f>
        <v>0</v>
      </c>
      <c r="E4" s="368">
        <f>F4-G4</f>
        <v>0</v>
      </c>
      <c r="F4" s="368">
        <f>CalcA!$F$24</f>
        <v>0</v>
      </c>
      <c r="G4" s="368">
        <f>CalcA!$G$24</f>
        <v>0</v>
      </c>
      <c r="H4" s="370">
        <f t="shared" ref="H4:H15" si="0">$D4*$S$4+($E4+$S$5/2)*$S$5+$F4*$S$6+$K4*$S$7+$L4*$S$8</f>
        <v>500000.00007499999</v>
      </c>
      <c r="I4" s="368" t="s">
        <v>24</v>
      </c>
      <c r="J4" s="368"/>
      <c r="K4" s="368">
        <f>SUMIFS(FairPlay!$C$6:$C$27,FairPlay!$B$6:$B$27,$C4)+SUMIFS(FairPlay!$F$6:$F$27,FairPlay!$E$6:$E$27,$C4)+SUMIFS(FairPlay!$I$6:$I$27,FairPlay!$H$6:$H$27,$C4)</f>
        <v>0</v>
      </c>
      <c r="L4" s="368">
        <f>100-INDEX(Sprache!$D$5:$D$100,MATCH($C4,Sprache!$E$5:$E$100,0),1)</f>
        <v>75</v>
      </c>
      <c r="R4" s="654" t="s">
        <v>1769</v>
      </c>
      <c r="S4" s="655">
        <v>1000000</v>
      </c>
    </row>
    <row r="5" spans="1:19" x14ac:dyDescent="0.25">
      <c r="A5" s="244"/>
      <c r="B5" s="313" t="s">
        <v>27</v>
      </c>
      <c r="C5" s="27" t="str">
        <f>CalcB!$D$24</f>
        <v>Katar</v>
      </c>
      <c r="D5" s="313">
        <f>CalcB!$E$24</f>
        <v>0</v>
      </c>
      <c r="E5" s="313">
        <f t="shared" ref="E5:E15" si="1">F5-G5</f>
        <v>0</v>
      </c>
      <c r="F5" s="313">
        <f>CalcB!$F$24</f>
        <v>0</v>
      </c>
      <c r="G5" s="313">
        <f>CalcB!$G$24</f>
        <v>0</v>
      </c>
      <c r="H5" s="371">
        <f t="shared" si="0"/>
        <v>500000.00004499999</v>
      </c>
      <c r="I5" s="313" t="s">
        <v>20</v>
      </c>
      <c r="J5" s="313"/>
      <c r="K5" s="313">
        <f>SUMIFS(FairPlay!$C$6:$C$27,FairPlay!$B$6:$B$27,$C5)+SUMIFS(FairPlay!$F$6:$F$27,FairPlay!$E$6:$E$27,$C5)+SUMIFS(FairPlay!$I$6:$I$27,FairPlay!$H$6:$H$27,$C5)</f>
        <v>0</v>
      </c>
      <c r="L5" s="313">
        <f>100-INDEX(Sprache!$D$5:$D$100,MATCH($C5,Sprache!$E$5:$E$100,0),1)</f>
        <v>45</v>
      </c>
      <c r="R5" s="656" t="s">
        <v>1768</v>
      </c>
      <c r="S5" s="657">
        <v>1000</v>
      </c>
    </row>
    <row r="6" spans="1:19" x14ac:dyDescent="0.25">
      <c r="A6" s="244"/>
      <c r="B6" s="313" t="s">
        <v>28</v>
      </c>
      <c r="C6" s="27" t="str">
        <f>CalcC!$D$24</f>
        <v>Haiti</v>
      </c>
      <c r="D6" s="313">
        <f>CalcC!$E$24</f>
        <v>0</v>
      </c>
      <c r="E6" s="313">
        <f t="shared" si="1"/>
        <v>0</v>
      </c>
      <c r="F6" s="313">
        <f>CalcC!$F$24</f>
        <v>0</v>
      </c>
      <c r="G6" s="313">
        <f>CalcC!$G$24</f>
        <v>0</v>
      </c>
      <c r="H6" s="371">
        <f t="shared" si="0"/>
        <v>500000.00001700001</v>
      </c>
      <c r="I6" s="313" t="s">
        <v>21</v>
      </c>
      <c r="J6" s="313"/>
      <c r="K6" s="313">
        <f>SUMIFS(FairPlay!$C$6:$C$27,FairPlay!$B$6:$B$27,$C6)+SUMIFS(FairPlay!$F$6:$F$27,FairPlay!$E$6:$E$27,$C6)+SUMIFS(FairPlay!$I$6:$I$27,FairPlay!$H$6:$H$27,$C6)</f>
        <v>0</v>
      </c>
      <c r="L6" s="313">
        <f>100-INDEX(Sprache!$D$5:$D$100,MATCH($C6,Sprache!$E$5:$E$100,0),1)</f>
        <v>17</v>
      </c>
      <c r="R6" s="656" t="s">
        <v>1767</v>
      </c>
      <c r="S6" s="657">
        <v>1</v>
      </c>
    </row>
    <row r="7" spans="1:19" x14ac:dyDescent="0.25">
      <c r="A7" s="244"/>
      <c r="B7" s="313" t="s">
        <v>29</v>
      </c>
      <c r="C7" s="27" t="str">
        <f>CalcD!$D$24</f>
        <v>Australien</v>
      </c>
      <c r="D7" s="313">
        <f>CalcD!$E$24</f>
        <v>0</v>
      </c>
      <c r="E7" s="313">
        <f t="shared" si="1"/>
        <v>0</v>
      </c>
      <c r="F7" s="313">
        <f>CalcD!$F$24</f>
        <v>0</v>
      </c>
      <c r="G7" s="313">
        <f>CalcD!$G$24</f>
        <v>0</v>
      </c>
      <c r="H7" s="371">
        <f t="shared" si="0"/>
        <v>500000.00007299997</v>
      </c>
      <c r="I7" s="313" t="s">
        <v>25</v>
      </c>
      <c r="J7" s="313"/>
      <c r="K7" s="313">
        <f>SUMIFS(FairPlay!$C$6:$C$27,FairPlay!$B$6:$B$27,$C7)+SUMIFS(FairPlay!$F$6:$F$27,FairPlay!$E$6:$E$27,$C7)+SUMIFS(FairPlay!$I$6:$I$27,FairPlay!$H$6:$H$27,$C7)</f>
        <v>0</v>
      </c>
      <c r="L7" s="313">
        <f>100-INDEX(Sprache!$D$5:$D$100,MATCH($C7,Sprache!$E$5:$E$100,0),1)</f>
        <v>73</v>
      </c>
      <c r="R7" s="656" t="s">
        <v>1770</v>
      </c>
      <c r="S7" s="657">
        <v>1E-3</v>
      </c>
    </row>
    <row r="8" spans="1:19" x14ac:dyDescent="0.25">
      <c r="A8" s="244"/>
      <c r="B8" s="313" t="s">
        <v>1084</v>
      </c>
      <c r="C8" s="27" t="str">
        <f>CalcE!$D$24</f>
        <v>Elfenbeinküste</v>
      </c>
      <c r="D8" s="313">
        <f>CalcE!$E$24</f>
        <v>0</v>
      </c>
      <c r="E8" s="313">
        <f t="shared" si="1"/>
        <v>0</v>
      </c>
      <c r="F8" s="313">
        <f>CalcE!$F$24</f>
        <v>0</v>
      </c>
      <c r="G8" s="313">
        <f>CalcE!$G$24</f>
        <v>0</v>
      </c>
      <c r="H8" s="371">
        <f t="shared" si="0"/>
        <v>500000.00006599998</v>
      </c>
      <c r="I8" s="313" t="s">
        <v>22</v>
      </c>
      <c r="J8" s="313"/>
      <c r="K8" s="313">
        <f>SUMIFS(FairPlay!$C$6:$C$27,FairPlay!$B$6:$B$27,$C8)+SUMIFS(FairPlay!$F$6:$F$27,FairPlay!$E$6:$E$27,$C8)+SUMIFS(FairPlay!$I$6:$I$27,FairPlay!$H$6:$H$27,$C8)</f>
        <v>0</v>
      </c>
      <c r="L8" s="313">
        <f>100-INDEX(Sprache!$D$5:$D$100,MATCH($C8,Sprache!$E$5:$E$100,0),1)</f>
        <v>66</v>
      </c>
      <c r="R8" s="658" t="s">
        <v>1771</v>
      </c>
      <c r="S8" s="659">
        <v>9.9999999999999995E-7</v>
      </c>
    </row>
    <row r="9" spans="1:19" x14ac:dyDescent="0.25">
      <c r="A9" s="244"/>
      <c r="B9" s="313" t="s">
        <v>1085</v>
      </c>
      <c r="C9" s="27" t="str">
        <f>CalcF!$D$24</f>
        <v>Schweden</v>
      </c>
      <c r="D9" s="313">
        <f>CalcF!$E$24</f>
        <v>0</v>
      </c>
      <c r="E9" s="313">
        <f t="shared" si="1"/>
        <v>0</v>
      </c>
      <c r="F9" s="313">
        <f>CalcF!$F$24</f>
        <v>0</v>
      </c>
      <c r="G9" s="313">
        <f>CalcF!$G$24</f>
        <v>0</v>
      </c>
      <c r="H9" s="371">
        <f t="shared" si="0"/>
        <v>500000.00006200001</v>
      </c>
      <c r="I9" s="313" t="s">
        <v>23</v>
      </c>
      <c r="J9" s="313"/>
      <c r="K9" s="313">
        <f>SUMIFS(FairPlay!$C$6:$C$27,FairPlay!$B$6:$B$27,$C9)+SUMIFS(FairPlay!$F$6:$F$27,FairPlay!$E$6:$E$27,$C9)+SUMIFS(FairPlay!$I$6:$I$27,FairPlay!$H$6:$H$27,$C9)</f>
        <v>0</v>
      </c>
      <c r="L9" s="313">
        <f>100-INDEX(Sprache!$D$5:$D$100,MATCH($C9,Sprache!$E$5:$E$100,0),1)</f>
        <v>62</v>
      </c>
    </row>
    <row r="10" spans="1:19" x14ac:dyDescent="0.25">
      <c r="A10" s="244"/>
      <c r="B10" s="313" t="s">
        <v>1088</v>
      </c>
      <c r="C10" s="27" t="str">
        <f>CalcG!$D$24</f>
        <v>IR Iran</v>
      </c>
      <c r="D10" s="313">
        <f>CalcG!$E$24</f>
        <v>0</v>
      </c>
      <c r="E10" s="313">
        <f t="shared" si="1"/>
        <v>0</v>
      </c>
      <c r="F10" s="313">
        <f>CalcG!$F$24</f>
        <v>0</v>
      </c>
      <c r="G10" s="313">
        <f>CalcG!$G$24</f>
        <v>0</v>
      </c>
      <c r="H10" s="371">
        <f t="shared" si="0"/>
        <v>500000.00007900002</v>
      </c>
      <c r="I10" s="313" t="s">
        <v>270</v>
      </c>
      <c r="J10" s="313"/>
      <c r="K10" s="313">
        <f>SUMIFS(FairPlay!$C$6:$C$27,FairPlay!$B$6:$B$27,$C10)+SUMIFS(FairPlay!$F$6:$F$27,FairPlay!$E$6:$E$27,$C10)+SUMIFS(FairPlay!$I$6:$I$27,FairPlay!$H$6:$H$27,$C10)</f>
        <v>0</v>
      </c>
      <c r="L10" s="313">
        <f>100-INDEX(Sprache!$D$5:$D$100,MATCH($C10,Sprache!$E$5:$E$100,0),1)</f>
        <v>79</v>
      </c>
    </row>
    <row r="11" spans="1:19" x14ac:dyDescent="0.25">
      <c r="A11" s="244"/>
      <c r="B11" s="313" t="s">
        <v>1089</v>
      </c>
      <c r="C11" s="27" t="str">
        <f>CalcH!$D$24</f>
        <v>Saudiarabien</v>
      </c>
      <c r="D11" s="313">
        <f>CalcH!$E$24</f>
        <v>0</v>
      </c>
      <c r="E11" s="313">
        <f t="shared" si="1"/>
        <v>0</v>
      </c>
      <c r="F11" s="313">
        <f>CalcH!$F$24</f>
        <v>0</v>
      </c>
      <c r="G11" s="313">
        <f>CalcH!$G$24</f>
        <v>0</v>
      </c>
      <c r="H11" s="371">
        <f t="shared" si="0"/>
        <v>500000.00003900001</v>
      </c>
      <c r="I11" s="313" t="s">
        <v>31</v>
      </c>
      <c r="J11" s="313"/>
      <c r="K11" s="313">
        <f>SUMIFS(FairPlay!$C$6:$C$27,FairPlay!$B$6:$B$27,$C11)+SUMIFS(FairPlay!$F$6:$F$27,FairPlay!$E$6:$E$27,$C11)+SUMIFS(FairPlay!$I$6:$I$27,FairPlay!$H$6:$H$27,$C11)</f>
        <v>0</v>
      </c>
      <c r="L11" s="313">
        <f>100-INDEX(Sprache!$D$5:$D$100,MATCH($C11,Sprache!$E$5:$E$100,0),1)</f>
        <v>39</v>
      </c>
    </row>
    <row r="12" spans="1:19" x14ac:dyDescent="0.25">
      <c r="A12" s="244"/>
      <c r="B12" s="313" t="s">
        <v>1090</v>
      </c>
      <c r="C12" s="27" t="str">
        <f>CalcI!$D$24</f>
        <v>Irak</v>
      </c>
      <c r="D12" s="313">
        <f>CalcI!$E$24</f>
        <v>0</v>
      </c>
      <c r="E12" s="313">
        <f t="shared" si="1"/>
        <v>0</v>
      </c>
      <c r="F12" s="313">
        <f>CalcI!$F$24</f>
        <v>0</v>
      </c>
      <c r="G12" s="313">
        <f>CalcI!$G$24</f>
        <v>0</v>
      </c>
      <c r="H12" s="371">
        <f t="shared" si="0"/>
        <v>500000.00004299998</v>
      </c>
      <c r="I12" s="313" t="s">
        <v>32</v>
      </c>
      <c r="J12" s="313"/>
      <c r="K12" s="313">
        <f>SUMIFS(FairPlay!$C$6:$C$27,FairPlay!$B$6:$B$27,$C12)+SUMIFS(FairPlay!$F$6:$F$27,FairPlay!$E$6:$E$27,$C12)+SUMIFS(FairPlay!$I$6:$I$27,FairPlay!$H$6:$H$27,$C12)</f>
        <v>0</v>
      </c>
      <c r="L12" s="313">
        <f>100-INDEX(Sprache!$D$5:$D$100,MATCH($C12,Sprache!$E$5:$E$100,0),1)</f>
        <v>43</v>
      </c>
    </row>
    <row r="13" spans="1:19" x14ac:dyDescent="0.25">
      <c r="A13" s="244"/>
      <c r="B13" s="313" t="s">
        <v>1091</v>
      </c>
      <c r="C13" s="27" t="str">
        <f>CalcJ!$D$24</f>
        <v>Österreich</v>
      </c>
      <c r="D13" s="313">
        <f>CalcJ!$E$24</f>
        <v>0</v>
      </c>
      <c r="E13" s="313">
        <f t="shared" si="1"/>
        <v>0</v>
      </c>
      <c r="F13" s="313">
        <f>CalcJ!$F$24</f>
        <v>0</v>
      </c>
      <c r="G13" s="313">
        <f>CalcJ!$G$24</f>
        <v>0</v>
      </c>
      <c r="H13" s="371">
        <f t="shared" si="0"/>
        <v>500000.000076</v>
      </c>
      <c r="I13" s="313" t="s">
        <v>814</v>
      </c>
      <c r="J13" s="313"/>
      <c r="K13" s="313">
        <f>SUMIFS(FairPlay!$C$6:$C$27,FairPlay!$B$6:$B$27,$C13)+SUMIFS(FairPlay!$F$6:$F$27,FairPlay!$E$6:$E$27,$C13)+SUMIFS(FairPlay!$I$6:$I$27,FairPlay!$H$6:$H$27,$C13)</f>
        <v>0</v>
      </c>
      <c r="L13" s="313">
        <f>100-INDEX(Sprache!$D$5:$D$100,MATCH($C13,Sprache!$E$5:$E$100,0),1)</f>
        <v>76</v>
      </c>
    </row>
    <row r="14" spans="1:19" x14ac:dyDescent="0.25">
      <c r="A14" s="244"/>
      <c r="B14" s="313" t="s">
        <v>1092</v>
      </c>
      <c r="C14" s="27" t="str">
        <f>CalcK!$D$24</f>
        <v>Usbekistan</v>
      </c>
      <c r="D14" s="313">
        <f>CalcK!$E$24</f>
        <v>0</v>
      </c>
      <c r="E14" s="313">
        <f t="shared" si="1"/>
        <v>0</v>
      </c>
      <c r="F14" s="313">
        <f>CalcK!$F$24</f>
        <v>0</v>
      </c>
      <c r="G14" s="313">
        <f>CalcK!$G$24</f>
        <v>0</v>
      </c>
      <c r="H14" s="371">
        <f t="shared" si="0"/>
        <v>500000.00004999997</v>
      </c>
      <c r="I14" s="313" t="s">
        <v>33</v>
      </c>
      <c r="J14" s="313"/>
      <c r="K14" s="313">
        <f>SUMIFS(FairPlay!$C$6:$C$27,FairPlay!$B$6:$B$27,$C14)+SUMIFS(FairPlay!$F$6:$F$27,FairPlay!$E$6:$E$27,$C14)+SUMIFS(FairPlay!$I$6:$I$27,FairPlay!$H$6:$H$27,$C14)</f>
        <v>0</v>
      </c>
      <c r="L14" s="313">
        <f>100-INDEX(Sprache!$D$5:$D$100,MATCH($C14,Sprache!$E$5:$E$100,0),1)</f>
        <v>50</v>
      </c>
    </row>
    <row r="15" spans="1:19" x14ac:dyDescent="0.25">
      <c r="A15" s="244"/>
      <c r="B15" s="33" t="s">
        <v>1093</v>
      </c>
      <c r="C15" s="32" t="str">
        <f>CalcL!$D$24</f>
        <v>Ghana</v>
      </c>
      <c r="D15" s="33">
        <f>CalcL!$E$24</f>
        <v>0</v>
      </c>
      <c r="E15" s="33">
        <f t="shared" si="1"/>
        <v>0</v>
      </c>
      <c r="F15" s="33">
        <f>CalcL!$F$24</f>
        <v>0</v>
      </c>
      <c r="G15" s="33">
        <f>CalcL!$G$24</f>
        <v>0</v>
      </c>
      <c r="H15" s="372">
        <f t="shared" si="0"/>
        <v>500000.00002600002</v>
      </c>
      <c r="I15" s="33" t="s">
        <v>34</v>
      </c>
      <c r="J15" s="33"/>
      <c r="K15" s="33">
        <f>SUMIFS(FairPlay!$C$6:$C$27,FairPlay!$B$6:$B$27,$C15)+SUMIFS(FairPlay!$F$6:$F$27,FairPlay!$E$6:$E$27,$C15)+SUMIFS(FairPlay!$I$6:$I$27,FairPlay!$H$6:$H$27,$C15)</f>
        <v>0</v>
      </c>
      <c r="L15" s="33">
        <f>100-INDEX(Sprache!$D$5:$D$100,MATCH($C15,Sprache!$E$5:$E$100,0),1)</f>
        <v>26</v>
      </c>
    </row>
    <row r="16" spans="1:19" ht="15.75" thickBot="1" x14ac:dyDescent="0.3">
      <c r="D16" s="54" t="s">
        <v>1080</v>
      </c>
      <c r="E16" s="54" t="s">
        <v>189</v>
      </c>
      <c r="F16" s="314" t="s">
        <v>1081</v>
      </c>
      <c r="G16" s="314" t="s">
        <v>1082</v>
      </c>
      <c r="H16" s="314" t="s">
        <v>190</v>
      </c>
      <c r="I16" s="54" t="s">
        <v>196</v>
      </c>
      <c r="J16" s="244"/>
    </row>
    <row r="17" spans="2:16" ht="15.75" thickTop="1" x14ac:dyDescent="0.25">
      <c r="B17" s="317" t="s">
        <v>26</v>
      </c>
      <c r="C17" s="318" t="str">
        <f t="shared" ref="C17:G22" si="2">INDEX(C$4:C$15,MATCH($H17,$H$4:$H$15,0))</f>
        <v>IR Iran</v>
      </c>
      <c r="D17" s="319">
        <f t="shared" si="2"/>
        <v>0</v>
      </c>
      <c r="E17" s="320">
        <f t="shared" si="2"/>
        <v>0</v>
      </c>
      <c r="F17" s="321">
        <f t="shared" si="2"/>
        <v>0</v>
      </c>
      <c r="G17" s="322">
        <f t="shared" si="2"/>
        <v>0</v>
      </c>
      <c r="H17" s="323">
        <f t="shared" ref="H17:H22" si="3">LARGE($H$4:$H$15,ROW(A1))</f>
        <v>500000.00007900002</v>
      </c>
      <c r="I17" s="324" t="str">
        <f t="shared" ref="I17:I22" si="4">INDEX(I$4:I$15,MATCH($H17,$H$4:$H$15,0))</f>
        <v>G</v>
      </c>
      <c r="J17" s="365"/>
      <c r="K17" s="325">
        <f t="array" ref="K17">SUM(IF($I$17:$I$24 &lt; $I17,1))</f>
        <v>5</v>
      </c>
      <c r="L17" s="320" t="str">
        <f>INDEX($I$17:$I$24,MATCH(ROW(A1)-1,$K$17:$K$24,0))</f>
        <v>A</v>
      </c>
      <c r="M17" s="319">
        <f>D17</f>
        <v>0</v>
      </c>
      <c r="N17" s="326">
        <f>F17</f>
        <v>0</v>
      </c>
      <c r="O17" s="327" t="s">
        <v>1086</v>
      </c>
      <c r="P17" s="328">
        <f>G17</f>
        <v>0</v>
      </c>
    </row>
    <row r="18" spans="2:16" x14ac:dyDescent="0.25">
      <c r="B18" s="329" t="s">
        <v>27</v>
      </c>
      <c r="C18" s="330" t="str">
        <f t="shared" si="2"/>
        <v>Österreich</v>
      </c>
      <c r="D18" s="331">
        <f t="shared" si="2"/>
        <v>0</v>
      </c>
      <c r="E18" s="332">
        <f t="shared" si="2"/>
        <v>0</v>
      </c>
      <c r="F18" s="333">
        <f t="shared" si="2"/>
        <v>0</v>
      </c>
      <c r="G18" s="334">
        <f t="shared" si="2"/>
        <v>0</v>
      </c>
      <c r="H18" s="335">
        <f t="shared" si="3"/>
        <v>500000.000076</v>
      </c>
      <c r="I18" s="336" t="str">
        <f t="shared" si="4"/>
        <v>J</v>
      </c>
      <c r="J18" s="366"/>
      <c r="K18" s="337">
        <f t="array" ref="K18">SUM(IF($I$17:$I$24 &lt; $I18,1))</f>
        <v>6</v>
      </c>
      <c r="L18" s="332" t="str">
        <f>INDEX($I$17:$I$24,MATCH(ROW(A2)-1,$K$17:$K$24,0))</f>
        <v>B</v>
      </c>
      <c r="M18" s="331">
        <f t="shared" ref="M18:M22" si="5">D18</f>
        <v>0</v>
      </c>
      <c r="N18" s="338">
        <f t="shared" ref="N18:N22" si="6">F18</f>
        <v>0</v>
      </c>
      <c r="O18" s="339" t="s">
        <v>1086</v>
      </c>
      <c r="P18" s="340">
        <f t="shared" ref="P18:P22" si="7">G18</f>
        <v>0</v>
      </c>
    </row>
    <row r="19" spans="2:16" x14ac:dyDescent="0.25">
      <c r="B19" s="329" t="s">
        <v>28</v>
      </c>
      <c r="C19" s="330" t="str">
        <f t="shared" si="2"/>
        <v>Südkorea</v>
      </c>
      <c r="D19" s="331">
        <f t="shared" si="2"/>
        <v>0</v>
      </c>
      <c r="E19" s="332">
        <f t="shared" si="2"/>
        <v>0</v>
      </c>
      <c r="F19" s="333">
        <f t="shared" si="2"/>
        <v>0</v>
      </c>
      <c r="G19" s="334">
        <f t="shared" si="2"/>
        <v>0</v>
      </c>
      <c r="H19" s="335">
        <f t="shared" si="3"/>
        <v>500000.00007499999</v>
      </c>
      <c r="I19" s="336" t="str">
        <f t="shared" si="4"/>
        <v>A</v>
      </c>
      <c r="J19" s="366"/>
      <c r="K19" s="337">
        <f t="array" ref="K19">SUM(IF($I$17:$I$24 &lt; $I19,1))</f>
        <v>0</v>
      </c>
      <c r="L19" s="332" t="str">
        <f t="shared" ref="L19:L24" si="8">INDEX($I$17:$I$24,MATCH(ROW(A3)-1,$K$17:$K$24,0))</f>
        <v>D</v>
      </c>
      <c r="M19" s="331">
        <f t="shared" si="5"/>
        <v>0</v>
      </c>
      <c r="N19" s="338">
        <f t="shared" si="6"/>
        <v>0</v>
      </c>
      <c r="O19" s="339" t="s">
        <v>1086</v>
      </c>
      <c r="P19" s="340">
        <f t="shared" si="7"/>
        <v>0</v>
      </c>
    </row>
    <row r="20" spans="2:16" x14ac:dyDescent="0.25">
      <c r="B20" s="329" t="s">
        <v>29</v>
      </c>
      <c r="C20" s="330" t="str">
        <f t="shared" si="2"/>
        <v>Australien</v>
      </c>
      <c r="D20" s="331">
        <f t="shared" si="2"/>
        <v>0</v>
      </c>
      <c r="E20" s="332">
        <f t="shared" si="2"/>
        <v>0</v>
      </c>
      <c r="F20" s="333">
        <f t="shared" si="2"/>
        <v>0</v>
      </c>
      <c r="G20" s="334">
        <f t="shared" si="2"/>
        <v>0</v>
      </c>
      <c r="H20" s="335">
        <f t="shared" si="3"/>
        <v>500000.00007299997</v>
      </c>
      <c r="I20" s="336" t="str">
        <f t="shared" si="4"/>
        <v>D</v>
      </c>
      <c r="J20" s="366"/>
      <c r="K20" s="337">
        <f t="array" ref="K20">SUM(IF($I$17:$I$24 &lt; $I20,1))</f>
        <v>2</v>
      </c>
      <c r="L20" s="332" t="str">
        <f t="shared" si="8"/>
        <v>E</v>
      </c>
      <c r="M20" s="331">
        <f t="shared" si="5"/>
        <v>0</v>
      </c>
      <c r="N20" s="338">
        <f t="shared" si="6"/>
        <v>0</v>
      </c>
      <c r="O20" s="339" t="s">
        <v>1086</v>
      </c>
      <c r="P20" s="340">
        <f t="shared" si="7"/>
        <v>0</v>
      </c>
    </row>
    <row r="21" spans="2:16" x14ac:dyDescent="0.25">
      <c r="B21" s="329" t="s">
        <v>1084</v>
      </c>
      <c r="C21" s="330" t="str">
        <f t="shared" si="2"/>
        <v>Elfenbeinküste</v>
      </c>
      <c r="D21" s="331">
        <f t="shared" si="2"/>
        <v>0</v>
      </c>
      <c r="E21" s="332">
        <f t="shared" si="2"/>
        <v>0</v>
      </c>
      <c r="F21" s="333">
        <f t="shared" si="2"/>
        <v>0</v>
      </c>
      <c r="G21" s="334">
        <f t="shared" si="2"/>
        <v>0</v>
      </c>
      <c r="H21" s="335">
        <f t="shared" si="3"/>
        <v>500000.00006599998</v>
      </c>
      <c r="I21" s="336" t="str">
        <f t="shared" si="4"/>
        <v>E</v>
      </c>
      <c r="J21" s="366"/>
      <c r="K21" s="337">
        <f t="array" ref="K21">SUM(IF($I$17:$I$24 &lt; $I21,1))</f>
        <v>3</v>
      </c>
      <c r="L21" s="332" t="str">
        <f t="shared" si="8"/>
        <v>F</v>
      </c>
      <c r="M21" s="331">
        <f t="shared" si="5"/>
        <v>0</v>
      </c>
      <c r="N21" s="338">
        <f t="shared" si="6"/>
        <v>0</v>
      </c>
      <c r="O21" s="339" t="s">
        <v>1086</v>
      </c>
      <c r="P21" s="340">
        <f t="shared" si="7"/>
        <v>0</v>
      </c>
    </row>
    <row r="22" spans="2:16" x14ac:dyDescent="0.25">
      <c r="B22" s="354" t="s">
        <v>1085</v>
      </c>
      <c r="C22" s="355" t="str">
        <f t="shared" si="2"/>
        <v>Schweden</v>
      </c>
      <c r="D22" s="356">
        <f t="shared" si="2"/>
        <v>0</v>
      </c>
      <c r="E22" s="357">
        <f t="shared" si="2"/>
        <v>0</v>
      </c>
      <c r="F22" s="358">
        <f t="shared" si="2"/>
        <v>0</v>
      </c>
      <c r="G22" s="359">
        <f t="shared" si="2"/>
        <v>0</v>
      </c>
      <c r="H22" s="360">
        <f t="shared" si="3"/>
        <v>500000.00006200001</v>
      </c>
      <c r="I22" s="361" t="str">
        <f t="shared" si="4"/>
        <v>F</v>
      </c>
      <c r="J22" s="366"/>
      <c r="K22" s="337">
        <f t="array" ref="K22">SUM(IF($I$17:$I$24 &lt; $I22,1))</f>
        <v>4</v>
      </c>
      <c r="L22" s="332" t="str">
        <f t="shared" si="8"/>
        <v>G</v>
      </c>
      <c r="M22" s="356">
        <f t="shared" si="5"/>
        <v>0</v>
      </c>
      <c r="N22" s="362">
        <f t="shared" si="6"/>
        <v>0</v>
      </c>
      <c r="O22" s="363" t="s">
        <v>1086</v>
      </c>
      <c r="P22" s="364">
        <f t="shared" si="7"/>
        <v>0</v>
      </c>
    </row>
    <row r="23" spans="2:16" x14ac:dyDescent="0.25">
      <c r="B23" s="354" t="s">
        <v>1088</v>
      </c>
      <c r="C23" s="355" t="str">
        <f t="shared" ref="C23:G28" si="9">INDEX(C$4:C$15,MATCH($H23,$H$4:$H$15,0))</f>
        <v>Usbekistan</v>
      </c>
      <c r="D23" s="356">
        <f t="shared" si="9"/>
        <v>0</v>
      </c>
      <c r="E23" s="357">
        <f t="shared" si="9"/>
        <v>0</v>
      </c>
      <c r="F23" s="358">
        <f t="shared" si="9"/>
        <v>0</v>
      </c>
      <c r="G23" s="359">
        <f t="shared" si="9"/>
        <v>0</v>
      </c>
      <c r="H23" s="360">
        <f t="shared" ref="H23:H28" si="10">LARGE($H$4:$H$15,ROW(A7))</f>
        <v>500000.00004999997</v>
      </c>
      <c r="I23" s="361" t="str">
        <f t="shared" ref="I23:I28" si="11">INDEX(I$4:I$15,MATCH($H23,$H$4:$H$15,0))</f>
        <v>K</v>
      </c>
      <c r="J23" s="27"/>
      <c r="K23" s="337">
        <f t="array" ref="K23">SUM(IF($I$17:$I$24 &lt; $I23,1))</f>
        <v>7</v>
      </c>
      <c r="L23" s="332" t="str">
        <f t="shared" si="8"/>
        <v>J</v>
      </c>
      <c r="M23" s="356">
        <f t="shared" ref="M23:M28" si="12">D23</f>
        <v>0</v>
      </c>
      <c r="N23" s="362">
        <f t="shared" ref="N23:N28" si="13">F23</f>
        <v>0</v>
      </c>
      <c r="O23" s="363" t="s">
        <v>1086</v>
      </c>
      <c r="P23" s="364">
        <f t="shared" ref="P23:P28" si="14">G23</f>
        <v>0</v>
      </c>
    </row>
    <row r="24" spans="2:16" x14ac:dyDescent="0.25">
      <c r="B24" s="354" t="s">
        <v>1089</v>
      </c>
      <c r="C24" s="355" t="str">
        <f t="shared" si="9"/>
        <v>Katar</v>
      </c>
      <c r="D24" s="356">
        <f t="shared" si="9"/>
        <v>0</v>
      </c>
      <c r="E24" s="357">
        <f t="shared" si="9"/>
        <v>0</v>
      </c>
      <c r="F24" s="358">
        <f t="shared" si="9"/>
        <v>0</v>
      </c>
      <c r="G24" s="359">
        <f t="shared" si="9"/>
        <v>0</v>
      </c>
      <c r="H24" s="360">
        <f t="shared" si="10"/>
        <v>500000.00004499999</v>
      </c>
      <c r="I24" s="361" t="str">
        <f t="shared" si="11"/>
        <v>B</v>
      </c>
      <c r="J24" s="27"/>
      <c r="K24" s="337">
        <f t="array" ref="K24">SUM(IF($I$17:$I$24 &lt; $I24,1))</f>
        <v>1</v>
      </c>
      <c r="L24" s="332" t="str">
        <f t="shared" si="8"/>
        <v>K</v>
      </c>
      <c r="M24" s="356">
        <f t="shared" si="12"/>
        <v>0</v>
      </c>
      <c r="N24" s="362">
        <f t="shared" si="13"/>
        <v>0</v>
      </c>
      <c r="O24" s="363" t="s">
        <v>1086</v>
      </c>
      <c r="P24" s="364">
        <f t="shared" si="14"/>
        <v>0</v>
      </c>
    </row>
    <row r="25" spans="2:16" x14ac:dyDescent="0.25">
      <c r="B25" s="354" t="s">
        <v>1090</v>
      </c>
      <c r="C25" s="355" t="str">
        <f t="shared" si="9"/>
        <v>Irak</v>
      </c>
      <c r="D25" s="356">
        <f t="shared" si="9"/>
        <v>0</v>
      </c>
      <c r="E25" s="357">
        <f t="shared" si="9"/>
        <v>0</v>
      </c>
      <c r="F25" s="358">
        <f t="shared" si="9"/>
        <v>0</v>
      </c>
      <c r="G25" s="359">
        <f t="shared" si="9"/>
        <v>0</v>
      </c>
      <c r="H25" s="360">
        <f t="shared" si="10"/>
        <v>500000.00004299998</v>
      </c>
      <c r="I25" s="361" t="str">
        <f t="shared" si="11"/>
        <v>I</v>
      </c>
      <c r="J25" s="27"/>
      <c r="K25" s="27"/>
      <c r="L25" s="51"/>
      <c r="M25" s="356">
        <f t="shared" si="12"/>
        <v>0</v>
      </c>
      <c r="N25" s="362">
        <f t="shared" si="13"/>
        <v>0</v>
      </c>
      <c r="O25" s="363" t="s">
        <v>1086</v>
      </c>
      <c r="P25" s="364">
        <f t="shared" si="14"/>
        <v>0</v>
      </c>
    </row>
    <row r="26" spans="2:16" x14ac:dyDescent="0.25">
      <c r="B26" s="354" t="s">
        <v>1091</v>
      </c>
      <c r="C26" s="355" t="str">
        <f t="shared" si="9"/>
        <v>Saudiarabien</v>
      </c>
      <c r="D26" s="356">
        <f t="shared" si="9"/>
        <v>0</v>
      </c>
      <c r="E26" s="357">
        <f t="shared" si="9"/>
        <v>0</v>
      </c>
      <c r="F26" s="358">
        <f t="shared" si="9"/>
        <v>0</v>
      </c>
      <c r="G26" s="359">
        <f t="shared" si="9"/>
        <v>0</v>
      </c>
      <c r="H26" s="360">
        <f t="shared" si="10"/>
        <v>500000.00003900001</v>
      </c>
      <c r="I26" s="361" t="str">
        <f t="shared" si="11"/>
        <v>H</v>
      </c>
      <c r="J26" s="27"/>
      <c r="K26" s="27"/>
      <c r="L26" s="51"/>
      <c r="M26" s="356">
        <f t="shared" si="12"/>
        <v>0</v>
      </c>
      <c r="N26" s="362">
        <f t="shared" si="13"/>
        <v>0</v>
      </c>
      <c r="O26" s="363" t="s">
        <v>1086</v>
      </c>
      <c r="P26" s="364">
        <f t="shared" si="14"/>
        <v>0</v>
      </c>
    </row>
    <row r="27" spans="2:16" x14ac:dyDescent="0.25">
      <c r="B27" s="354" t="s">
        <v>1092</v>
      </c>
      <c r="C27" s="355" t="str">
        <f t="shared" si="9"/>
        <v>Ghana</v>
      </c>
      <c r="D27" s="356">
        <f t="shared" si="9"/>
        <v>0</v>
      </c>
      <c r="E27" s="357">
        <f t="shared" si="9"/>
        <v>0</v>
      </c>
      <c r="F27" s="358">
        <f t="shared" si="9"/>
        <v>0</v>
      </c>
      <c r="G27" s="359">
        <f t="shared" si="9"/>
        <v>0</v>
      </c>
      <c r="H27" s="360">
        <f t="shared" si="10"/>
        <v>500000.00002600002</v>
      </c>
      <c r="I27" s="361" t="str">
        <f t="shared" si="11"/>
        <v>L</v>
      </c>
      <c r="J27" s="27"/>
      <c r="K27" s="27"/>
      <c r="L27" s="51"/>
      <c r="M27" s="356">
        <f t="shared" si="12"/>
        <v>0</v>
      </c>
      <c r="N27" s="362">
        <f t="shared" si="13"/>
        <v>0</v>
      </c>
      <c r="O27" s="363" t="s">
        <v>1086</v>
      </c>
      <c r="P27" s="364">
        <f t="shared" si="14"/>
        <v>0</v>
      </c>
    </row>
    <row r="28" spans="2:16" ht="15.75" thickBot="1" x14ac:dyDescent="0.3">
      <c r="B28" s="341" t="s">
        <v>1093</v>
      </c>
      <c r="C28" s="342" t="str">
        <f t="shared" si="9"/>
        <v>Haiti</v>
      </c>
      <c r="D28" s="343">
        <f t="shared" si="9"/>
        <v>0</v>
      </c>
      <c r="E28" s="344">
        <f t="shared" si="9"/>
        <v>0</v>
      </c>
      <c r="F28" s="345">
        <f t="shared" si="9"/>
        <v>0</v>
      </c>
      <c r="G28" s="346">
        <f t="shared" si="9"/>
        <v>0</v>
      </c>
      <c r="H28" s="347">
        <f t="shared" si="10"/>
        <v>500000.00001700001</v>
      </c>
      <c r="I28" s="348" t="str">
        <f t="shared" si="11"/>
        <v>C</v>
      </c>
      <c r="J28" s="312"/>
      <c r="K28" s="312"/>
      <c r="L28" s="367"/>
      <c r="M28" s="343">
        <f t="shared" si="12"/>
        <v>0</v>
      </c>
      <c r="N28" s="349">
        <f t="shared" si="13"/>
        <v>0</v>
      </c>
      <c r="O28" s="350" t="s">
        <v>1086</v>
      </c>
      <c r="P28" s="351">
        <f t="shared" si="14"/>
        <v>0</v>
      </c>
    </row>
    <row r="29" spans="2:16" ht="15.75" thickTop="1" x14ac:dyDescent="0.25">
      <c r="L29" s="31"/>
    </row>
    <row r="30" spans="2:16" x14ac:dyDescent="0.25">
      <c r="B30" s="313"/>
      <c r="C30" s="27"/>
      <c r="D30" s="313"/>
      <c r="E30" s="313"/>
      <c r="F30" s="313"/>
      <c r="G30" s="776" t="s">
        <v>1056</v>
      </c>
      <c r="H30" s="776"/>
      <c r="I30" s="332" t="str">
        <f>IF(Distinctness!$G$17&gt;0,L17&amp;L18&amp;L19&amp;L20&amp;L21&amp;L22&amp;L23&amp;L24,"")</f>
        <v/>
      </c>
      <c r="J30" s="313"/>
      <c r="K30" s="313"/>
      <c r="L30" s="313"/>
    </row>
    <row r="31" spans="2:16" x14ac:dyDescent="0.25">
      <c r="B31" s="313"/>
      <c r="C31" s="27"/>
      <c r="D31" s="313"/>
      <c r="E31" s="313"/>
      <c r="F31" s="313"/>
      <c r="G31" s="313"/>
      <c r="H31" s="27"/>
      <c r="I31" s="313"/>
      <c r="J31" s="313"/>
      <c r="K31" s="313"/>
      <c r="L31" s="313"/>
    </row>
    <row r="33" spans="8:9" x14ac:dyDescent="0.25">
      <c r="H33" s="352" t="s">
        <v>1087</v>
      </c>
      <c r="I33" s="353" t="b">
        <f>AND(TRUNC($H$24,4)=TRUNC($H$25,4),Distinctness!$G$17&gt;0)</f>
        <v>0</v>
      </c>
    </row>
  </sheetData>
  <mergeCells count="1">
    <mergeCell ref="G30:H30"/>
  </mergeCells>
  <pageMargins left="0.7" right="0.7" top="0.78740157499999996" bottom="0.78740157499999996"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vt:i4>
      </vt:variant>
    </vt:vector>
  </HeadingPairs>
  <TitlesOfParts>
    <vt:vector size="23" baseType="lpstr">
      <vt:lpstr>World Cup</vt:lpstr>
      <vt:lpstr>Tagesplan</vt:lpstr>
      <vt:lpstr>FairPlay</vt:lpstr>
      <vt:lpstr>Sprache</vt:lpstr>
      <vt:lpstr>Zeitzone</vt:lpstr>
      <vt:lpstr>Groups</vt:lpstr>
      <vt:lpstr>Matches</vt:lpstr>
      <vt:lpstr>AssignThird</vt:lpstr>
      <vt:lpstr>ThirdPlaced</vt:lpstr>
      <vt:lpstr>Distinctness</vt:lpstr>
      <vt:lpstr>CalcA</vt:lpstr>
      <vt:lpstr>CalcB</vt:lpstr>
      <vt:lpstr>CalcC</vt:lpstr>
      <vt:lpstr>CalcD</vt:lpstr>
      <vt:lpstr>CalcE</vt:lpstr>
      <vt:lpstr>CalcF</vt:lpstr>
      <vt:lpstr>CalcG</vt:lpstr>
      <vt:lpstr>CalcH</vt:lpstr>
      <vt:lpstr>CalcI</vt:lpstr>
      <vt:lpstr>CalcJ</vt:lpstr>
      <vt:lpstr>CalcK</vt:lpstr>
      <vt:lpstr>CalcL</vt:lpstr>
      <vt:lpstr>AssignThird!Druckbereich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2024-08-12T08:42:52Z</cp:lastPrinted>
  <dcterms:created xsi:type="dcterms:W3CDTF">2018-06-13T10:24:55Z</dcterms:created>
  <dcterms:modified xsi:type="dcterms:W3CDTF">2026-04-27T09:28:37Z</dcterms:modified>
</cp:coreProperties>
</file>